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o\OneDrive\Área de Trabalho\RECAPEAMENTO ASFÁLTICO AV.JOÃO MEIRA DOS SANTOS\PROJETO À LICITAR RECAP. AV. JOÃO MEIRA\PLANILHAS\"/>
    </mc:Choice>
  </mc:AlternateContent>
  <xr:revisionPtr revIDLastSave="0" documentId="13_ncr:1_{C0A7D1F5-2582-45D5-A467-17329D3263B4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MEMÓRIAL DE CÁLCULO" sheetId="9" r:id="rId1"/>
    <sheet name="PLANILHA ORÇAMENTÁRIA" sheetId="5" r:id="rId2"/>
    <sheet name="BDI" sheetId="6" r:id="rId3"/>
    <sheet name="CRONOGRAMA FÍSICO-FINANCEIRO" sheetId="7" r:id="rId4"/>
    <sheet name="PREÇO EMULSÃO" sheetId="10" r:id="rId5"/>
  </sheets>
  <definedNames>
    <definedName name="_xlnm.Print_Area" localSheetId="2">BDI!$A$1:$D$33</definedName>
    <definedName name="_xlnm.Print_Area" localSheetId="3">'CRONOGRAMA FÍSICO-FINANCEIRO'!$A$1:$M$25</definedName>
    <definedName name="_xlnm.Print_Area" localSheetId="0">'MEMÓRIAL DE CÁLCULO'!$A$1:$I$31</definedName>
    <definedName name="_xlnm.Print_Area" localSheetId="1">'PLANILHA ORÇAMENTÁRIA'!$A$1:$I$33</definedName>
    <definedName name="_xlnm.Print_Area" localSheetId="4">'PREÇO EMULSÃO'!$A$1:$N$24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5" l="1"/>
  <c r="K16" i="5"/>
  <c r="K15" i="5"/>
  <c r="K14" i="5"/>
  <c r="K12" i="5"/>
  <c r="K10" i="5"/>
  <c r="I22" i="5"/>
  <c r="I9" i="5"/>
  <c r="I11" i="5"/>
  <c r="I17" i="5"/>
  <c r="I19" i="5"/>
  <c r="H21" i="5"/>
  <c r="I21" i="5" s="1"/>
  <c r="H20" i="5"/>
  <c r="H18" i="5"/>
  <c r="H13" i="5"/>
  <c r="H14" i="5"/>
  <c r="H15" i="5"/>
  <c r="H16" i="5"/>
  <c r="H12" i="5"/>
  <c r="H10" i="5"/>
  <c r="G13" i="5"/>
  <c r="F16" i="9"/>
  <c r="F15" i="9"/>
  <c r="K11" i="5"/>
  <c r="K17" i="5"/>
  <c r="K19" i="5"/>
  <c r="A21" i="5"/>
  <c r="B21" i="5"/>
  <c r="C21" i="5"/>
  <c r="D21" i="5"/>
  <c r="E21" i="5"/>
  <c r="F21" i="5"/>
  <c r="K21" i="5" l="1"/>
  <c r="F21" i="9"/>
  <c r="F18" i="9"/>
  <c r="F20" i="9" l="1"/>
  <c r="F12" i="9"/>
  <c r="F13" i="9" s="1"/>
  <c r="M13" i="7"/>
  <c r="O19" i="5"/>
  <c r="E20" i="5"/>
  <c r="D20" i="5"/>
  <c r="C20" i="5"/>
  <c r="B20" i="5"/>
  <c r="A20" i="5"/>
  <c r="E19" i="5"/>
  <c r="D19" i="5"/>
  <c r="B13" i="7" s="1"/>
  <c r="C19" i="5"/>
  <c r="B19" i="5"/>
  <c r="A19" i="5"/>
  <c r="A13" i="7" s="1"/>
  <c r="F20" i="5"/>
  <c r="O20" i="5" s="1"/>
  <c r="O11" i="5"/>
  <c r="O17" i="5"/>
  <c r="F10" i="9"/>
  <c r="D22" i="6"/>
  <c r="A15" i="5"/>
  <c r="B15" i="5"/>
  <c r="C15" i="5"/>
  <c r="D15" i="5"/>
  <c r="E15" i="5"/>
  <c r="A16" i="5"/>
  <c r="B16" i="5"/>
  <c r="C16" i="5"/>
  <c r="D16" i="5"/>
  <c r="E16" i="5"/>
  <c r="A12" i="5"/>
  <c r="B12" i="5"/>
  <c r="C12" i="5"/>
  <c r="D12" i="5"/>
  <c r="E12" i="5"/>
  <c r="A13" i="5"/>
  <c r="B13" i="5"/>
  <c r="C13" i="5"/>
  <c r="D13" i="5"/>
  <c r="E13" i="5"/>
  <c r="A14" i="5"/>
  <c r="B14" i="5"/>
  <c r="C14" i="5"/>
  <c r="D14" i="5"/>
  <c r="E14" i="5"/>
  <c r="F16" i="5" l="1"/>
  <c r="O16" i="5" s="1"/>
  <c r="F14" i="9"/>
  <c r="F14" i="5" s="1"/>
  <c r="O14" i="5" s="1"/>
  <c r="F12" i="5"/>
  <c r="O12" i="5" s="1"/>
  <c r="F13" i="5" l="1"/>
  <c r="O13" i="5" s="1"/>
  <c r="F15" i="5"/>
  <c r="O15" i="5" s="1"/>
  <c r="D18" i="7"/>
  <c r="B25" i="6"/>
  <c r="M3" i="7"/>
  <c r="A3" i="5"/>
  <c r="A4" i="5"/>
  <c r="G4" i="5" l="1"/>
  <c r="L3" i="7" s="1"/>
  <c r="H4" i="9"/>
  <c r="H4" i="5" l="1"/>
  <c r="F18" i="5" l="1"/>
  <c r="O18" i="5" s="1"/>
  <c r="F10" i="5"/>
  <c r="O10" i="5" s="1"/>
  <c r="A10" i="5"/>
  <c r="B10" i="5"/>
  <c r="C10" i="5"/>
  <c r="D10" i="5"/>
  <c r="E10" i="5"/>
  <c r="A11" i="5"/>
  <c r="B11" i="5"/>
  <c r="C11" i="5"/>
  <c r="D11" i="5"/>
  <c r="E11" i="5"/>
  <c r="A17" i="5"/>
  <c r="B17" i="5"/>
  <c r="C17" i="5"/>
  <c r="D17" i="5"/>
  <c r="E17" i="5"/>
  <c r="A18" i="5"/>
  <c r="B18" i="5"/>
  <c r="C18" i="5"/>
  <c r="D18" i="5"/>
  <c r="E18" i="5"/>
  <c r="B9" i="5"/>
  <c r="C9" i="5"/>
  <c r="D9" i="5"/>
  <c r="E9" i="5"/>
  <c r="A9" i="5"/>
  <c r="B8" i="5"/>
  <c r="C8" i="5"/>
  <c r="D8" i="5"/>
  <c r="E8" i="5"/>
  <c r="F8" i="5"/>
  <c r="A8" i="5"/>
  <c r="H7" i="5"/>
  <c r="I6" i="5"/>
  <c r="H6" i="5"/>
  <c r="G6" i="5"/>
  <c r="F6" i="5"/>
  <c r="F5" i="5"/>
  <c r="L42" i="9"/>
  <c r="L32" i="9"/>
  <c r="L31" i="9"/>
  <c r="L30" i="9"/>
  <c r="L29" i="9"/>
  <c r="L28" i="9"/>
  <c r="L27" i="9"/>
  <c r="L26" i="9"/>
  <c r="L25" i="9"/>
  <c r="L24" i="9"/>
  <c r="L23" i="9"/>
  <c r="L22" i="9"/>
  <c r="A5" i="5"/>
  <c r="O22" i="5" l="1"/>
  <c r="A7" i="6"/>
  <c r="A4" i="7"/>
  <c r="A6" i="5"/>
  <c r="A7" i="5"/>
  <c r="O23" i="9" l="1"/>
  <c r="M11" i="7" l="1"/>
  <c r="M12" i="7"/>
  <c r="M10" i="7"/>
  <c r="B12" i="7"/>
  <c r="B11" i="7"/>
  <c r="A12" i="7"/>
  <c r="A11" i="7"/>
  <c r="A10" i="7"/>
  <c r="L25" i="5" l="1"/>
  <c r="A8" i="6" l="1"/>
  <c r="L23" i="5" l="1"/>
  <c r="L24" i="5"/>
  <c r="L26" i="5"/>
  <c r="L27" i="5"/>
  <c r="L28" i="5"/>
  <c r="L29" i="5"/>
  <c r="L30" i="5"/>
  <c r="L31" i="5"/>
  <c r="L32" i="5"/>
  <c r="L33" i="5"/>
  <c r="B18" i="7"/>
  <c r="B10" i="7"/>
  <c r="A6" i="7"/>
  <c r="A5" i="7"/>
  <c r="A3" i="7"/>
  <c r="A2" i="7"/>
  <c r="A6" i="6"/>
  <c r="A5" i="6"/>
  <c r="A30" i="6"/>
  <c r="B24" i="7" s="1"/>
  <c r="A29" i="6"/>
  <c r="B23" i="7" s="1"/>
  <c r="I7" i="9" l="1"/>
  <c r="I7" i="5" l="1"/>
  <c r="K20" i="5" l="1"/>
  <c r="K13" i="5"/>
  <c r="K18" i="5"/>
  <c r="L43" i="9"/>
  <c r="L33" i="9"/>
  <c r="I20" i="5" l="1"/>
  <c r="I15" i="5"/>
  <c r="I14" i="5"/>
  <c r="I16" i="5"/>
  <c r="I12" i="5"/>
  <c r="I13" i="5"/>
  <c r="I18" i="5"/>
  <c r="I10" i="5"/>
  <c r="M26" i="5" l="1"/>
  <c r="D13" i="7"/>
  <c r="D10" i="7"/>
  <c r="H13" i="7" l="1"/>
  <c r="L13" i="7" s="1"/>
  <c r="F10" i="7"/>
  <c r="D11" i="7"/>
  <c r="L10" i="7" l="1"/>
  <c r="H11" i="7"/>
  <c r="D12" i="7"/>
  <c r="D15" i="7" s="1"/>
  <c r="F11" i="7"/>
  <c r="E13" i="7" l="1"/>
  <c r="D16" i="7"/>
  <c r="H12" i="7"/>
  <c r="H15" i="7" s="1"/>
  <c r="F12" i="7"/>
  <c r="F15" i="7" s="1"/>
  <c r="G15" i="7" s="1"/>
  <c r="L11" i="7"/>
  <c r="E10" i="7" l="1"/>
  <c r="L12" i="7"/>
  <c r="F16" i="7"/>
  <c r="H16" i="7" s="1"/>
  <c r="I15" i="7"/>
  <c r="E12" i="7"/>
  <c r="E11" i="7"/>
  <c r="L15" i="7" l="1"/>
  <c r="M15" i="7" s="1"/>
  <c r="E15" i="7"/>
  <c r="G16" i="7"/>
  <c r="I16" i="7" s="1"/>
</calcChain>
</file>

<file path=xl/sharedStrings.xml><?xml version="1.0" encoding="utf-8"?>
<sst xmlns="http://schemas.openxmlformats.org/spreadsheetml/2006/main" count="158" uniqueCount="117">
  <si>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</si>
  <si>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</si>
  <si>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</si>
  <si>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</si>
  <si>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</si>
  <si>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</si>
  <si>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</si>
  <si>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</si>
  <si>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</si>
  <si>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PREÇO TOTAL</t>
  </si>
  <si>
    <t xml:space="preserve">FORMA DE EXECUÇÃO: </t>
  </si>
  <si>
    <t>M2</t>
  </si>
  <si>
    <t>1.1</t>
  </si>
  <si>
    <t>2.1</t>
  </si>
  <si>
    <t>3.1</t>
  </si>
  <si>
    <t>M</t>
  </si>
  <si>
    <t>TOTAL GERAL DA OBRA</t>
  </si>
  <si>
    <t>FOLHA Nº: 01 / 01</t>
  </si>
  <si>
    <t>M3</t>
  </si>
  <si>
    <t>TXKM</t>
  </si>
  <si>
    <t>INSTALAÇÕES INICIAIS DA OBRA</t>
  </si>
  <si>
    <t>BDI</t>
  </si>
  <si>
    <t>PREÇO UNITÁRIO S/ BDI</t>
  </si>
  <si>
    <t>PREÇO UNITÁRIO C/ BDI</t>
  </si>
  <si>
    <t>___________________________________________________________</t>
  </si>
  <si>
    <t>____________________________________________________________</t>
  </si>
  <si>
    <t>ADEMIR ALVES</t>
  </si>
  <si>
    <t>OBRAS RODOVIARIAS DE ACORDO COM ACÓRDÃO TCU BDI (CONFORME ACÓRDÃO Nº 2622/13 e LEI Nº 13.161 DE 31/08/15)</t>
  </si>
  <si>
    <t>CÁLCULO DA BONIFICAÇÃO E DESPESAS INDIRETAS</t>
  </si>
  <si>
    <t>BDI GERAL</t>
  </si>
  <si>
    <t>TAXAS GERAIS: TG = (1 + (AC + R + (S + G)))*(1 + DF)*(1 + L)</t>
  </si>
  <si>
    <t>SIGLA</t>
  </si>
  <si>
    <t xml:space="preserve">ADMINISTRAÇÃO CENTRAL </t>
  </si>
  <si>
    <t>AC</t>
  </si>
  <si>
    <t>1.2</t>
  </si>
  <si>
    <t xml:space="preserve">RISCOS </t>
  </si>
  <si>
    <t>R</t>
  </si>
  <si>
    <t>1.3</t>
  </si>
  <si>
    <t>SEGUROS+GARANTIAS</t>
  </si>
  <si>
    <t>S+G</t>
  </si>
  <si>
    <t>1.4</t>
  </si>
  <si>
    <t>DF</t>
  </si>
  <si>
    <t>1.5</t>
  </si>
  <si>
    <t>LUCRO</t>
  </si>
  <si>
    <t>L</t>
  </si>
  <si>
    <t>Taxas : T = (i°+i¹+i²+i³)</t>
  </si>
  <si>
    <t>T</t>
  </si>
  <si>
    <t>COFINS</t>
  </si>
  <si>
    <t>i°</t>
  </si>
  <si>
    <t>2.2</t>
  </si>
  <si>
    <t>ISS</t>
  </si>
  <si>
    <t>i¹</t>
  </si>
  <si>
    <t>2.3</t>
  </si>
  <si>
    <t>PIS</t>
  </si>
  <si>
    <t>i²</t>
  </si>
  <si>
    <t>2.4</t>
  </si>
  <si>
    <t>CPRB</t>
  </si>
  <si>
    <t>i³</t>
  </si>
  <si>
    <t>B.D.I. = { [TG / ( 1 - T)] - 1 } x 100</t>
  </si>
  <si>
    <t>___________________________________________</t>
  </si>
  <si>
    <t>CRONOGRAMA FÍSICO-FINANCEIRO</t>
  </si>
  <si>
    <t>VALOR DOS SEVIÇOS</t>
  </si>
  <si>
    <t>Mês 1</t>
  </si>
  <si>
    <t>TOTAL</t>
  </si>
  <si>
    <t>R$</t>
  </si>
  <si>
    <t>%</t>
  </si>
  <si>
    <t>TOTAL ACUMULADO</t>
  </si>
  <si>
    <t>COMPOSIÇÃO DO BDI SEM DESONERAÇÃO</t>
  </si>
  <si>
    <t xml:space="preserve">DESPESAS FINANCEIRAS </t>
  </si>
  <si>
    <t>MARCOS VINÍCIUS COSTA FRÓIS</t>
  </si>
  <si>
    <t>MEMÓRIA DE CÁLCULO</t>
  </si>
  <si>
    <t>OBRAS COMPLEMENTARES DE PAVIMENTAÇÃO</t>
  </si>
  <si>
    <t>PAVIMENTAÇÃO</t>
  </si>
  <si>
    <t>FORNECIMENTO E INSTALAÇÃO DE PLACA DE OBRA COM CHAPA GALVANIZADA E ESTRUTURA DE MADEIRA. AF_03/2022_PS</t>
  </si>
  <si>
    <r>
      <t xml:space="preserve">PREFEITURA MUNICIPAL DE DIVISA ALEGRE 
</t>
    </r>
    <r>
      <rPr>
        <sz val="12"/>
        <rFont val="Arial"/>
        <family val="2"/>
      </rPr>
      <t>RUA  ALFREDO LUIZ BAHIA, Nº 04, CENTRO, DIVISA ALEGRE/MG
CEP: 39.995-000   Telefones: (33) 37558135/8187                                                                                 
CNPJ Nº 01.613.073/0001-11</t>
    </r>
  </si>
  <si>
    <t>EXECUÇÃO DE SARJETA DE CONCRETO USINADO, MOLDADA  IN LOCO  EM TRECHO RETO, 45 CM BASE X 10 CM ALTURA. AF_01/2024</t>
  </si>
  <si>
    <t>ENGENHEIRO CIVIL - CREA-MG: 250000/D</t>
  </si>
  <si>
    <t>PREFEITO MUNICIPAL</t>
  </si>
  <si>
    <t>Mês 2</t>
  </si>
  <si>
    <t>Mês 3</t>
  </si>
  <si>
    <t>(X)</t>
  </si>
  <si>
    <r>
      <t xml:space="preserve">PREFEITURA MUNICIPAL DE DIVISA ALEGRE 
</t>
    </r>
    <r>
      <rPr>
        <sz val="10"/>
        <rFont val="Arial"/>
        <family val="2"/>
      </rPr>
      <t>RUA  ALFREDO LUIZ BAHIA, Nº 04, CENTRO, DIVISA ALEGRE/MG
CEP: 39.995-000   Telefones: (33) 37558135/8187                                                                                 
CNPJ Nº 01.613.073/0001-11</t>
    </r>
  </si>
  <si>
    <t>FONTE</t>
  </si>
  <si>
    <t>RO-00389</t>
  </si>
  <si>
    <t>Pintura de ligação (Execução, exclui fornecimento e transporte do material betuminoso até a obra)</t>
  </si>
  <si>
    <t>ANP</t>
  </si>
  <si>
    <t>Emulsão asfáltica - RR-1C</t>
  </si>
  <si>
    <t>SEINFRA-MG</t>
  </si>
  <si>
    <t>SINAPI</t>
  </si>
  <si>
    <t>TRANSPORTE COM CAMINHÃO TANQUE DE TRANSPORTE DE MATERIAL ASFÁLTICO DE 30000 L, EM VIA URBANA PAVIMENTADA, ADICIONAL PARA DMT EXCEDENTE A 30 KM (UNIDADE: TXKM). AF_07/2020</t>
  </si>
  <si>
    <t>DESCRIÇÃO MEMÓRIA DE CÁLCULO</t>
  </si>
  <si>
    <t>PREFEITURA: PREFEITURA MUNICIPAL DE DIVISA ALEGRE - MG</t>
  </si>
  <si>
    <t>DATA:</t>
  </si>
  <si>
    <t>((1,5 m X 3,00 m) = Dimensões da placa da obra)</t>
  </si>
  <si>
    <t>Divisa Alegre-MG,</t>
  </si>
  <si>
    <t>ED-7623</t>
  </si>
  <si>
    <t>EXECUÇÃO E APLICAÇÃO DE CONCRETO BETUMINOSO USINADO A QUENTE (CBUQ), MASSA COMERCIAL, INCLUINDO FORNECIMENTO E TRANSPORTE DOS AGREGADOS E MATERIAL BETUMINOSO, EXCLUSIVE TRANSPORTE DA MASSA ASFÁLTICA ATÉ A PISTA</t>
  </si>
  <si>
    <t>TRANSPORTE COM CAMINHÃO BASCULANTE DE 18 M³, EM VIA URBANA PAVIMENTADA, ADICIONAL PARA DMT EXCEDENTE A 30 KM (UNIDADE: M3XKM). AF_07/2020</t>
  </si>
  <si>
    <t>M3XKM</t>
  </si>
  <si>
    <t>4.1</t>
  </si>
  <si>
    <t>SINALIZAÇÃO VIÁRIA</t>
  </si>
  <si>
    <t>PINTURA DE FAIXA DE PEDESTRE OU ZEBRADA TINTA RETRORREFLETIVA A BASE DE RESINA ACRÍLICA COM MICROESFERAS DE VIDRO, E = 30 CM, APLICAÇÃO MANUAL. AF_05/2021</t>
  </si>
  <si>
    <t>2.5</t>
  </si>
  <si>
    <t>PRAZO DE EXECUÇÃO: 02 MESES</t>
  </si>
  <si>
    <t>LOCAL: AVENIDA JOÃO MEIRA DOS SANTOS</t>
  </si>
  <si>
    <t>PINTURA DE EIXO VIÁRIO SOBRE ASFALTO COM TINTA RETRORREFLETIVA A BASE DE RESINA ACRÍLICA COM MICROESFERAS DE VIDRO, APLICAÇÃO MECÂNICA COM DEMARCADORA AUTOPROPELIDA. AF_05/2021</t>
  </si>
  <si>
    <t>4.2</t>
  </si>
  <si>
    <t>(3057,25 m²  área de pavimento Av. João Meira dos Santos descontando a área de execução de sarjeta)</t>
  </si>
  <si>
    <t>0,0005 t/m² X (3057,25 m² área de pintura de ligação)</t>
  </si>
  <si>
    <t>736,00 KM referente a distância da Refinaria em Betim-MG até a obra em Divisa Alegre-MG X 1,53 T emulsão asfáltica para pintura de ligação</t>
  </si>
  <si>
    <t>((4,14+2+3,96+33,39+40,55+38,78+38,93+21,25+0,74+2,17+39,1+32+1,65+1,67+15,38+1,38+1,36+20,87+39,52+40,31+30,53+30,57+40,32+39,26+38,25+46,52+39,83+2,22+1,79+21,57+39,08+38,96+40,44+33,16+3,82+1,96+3,8+2,23) m = comprimento sarjeta Av. João Meira dos Santos)</t>
  </si>
  <si>
    <t>((3,50 m comprimento faixas de pedestres x 0,40 m largura X 7 faixas) X 6 unidades ao longo da Av. João Meira dos Santos) + ((3,50 m comprimento da linha de retenção X 0,40 m largura X 2 linhas) X 6 unidades ao longo da Av. João Meira dos Santos)</t>
  </si>
  <si>
    <t>(11,16+152,49+6,38+8,17+46,32+7,64+21,01+5,42+108,34+4,99+12,5+152,48+8,02+8,83+46,32+39,56+108,34+5 m comprimento faixas de bordo) + ((4,99+108,34+39,56+46,32+20,39+152,48+11,61) m faixas de divisão de fluxo da via X 2 faixas)</t>
  </si>
  <si>
    <t>OBJETO: RECAPEAMENTO ASFÁLTICO EM CONCRETO BETUMINOSO USINADO A QUENTE (CBUQ) SOBRE REVESTIMENTO POLIÉDRICO NO MUNICÍPIO DE DIVISA ALEGRE - MG</t>
  </si>
  <si>
    <t>REGIÃO/MÊS DE REFERÊNCIA: SEINFRA/REGIÃO JEQUITINHONHA 10/2025 NÃO DESONERADO // SINAPI-MG 12/2025 NÃO DESONERADO //  ANP 12/2025</t>
  </si>
  <si>
    <t>132 KM referente a distância da Usina de CBUQ em Taiobeiras-MG até a obra em Divisa Alegre-MG X Volume de CBUQ</t>
  </si>
  <si>
    <t xml:space="preserve">0,04 m espessura do pavimento X (3057,25 m² área de pintura de ligação) + ((3,50 m X 7,16 m X 0,10 m) + ((1,00 m X 0,10 m)/2) X 7,16 m X 2 lados) Volume de CBUQ faixa elevada 01) +  ((3,50 m X 7,11 m X 0,10 m) + ((1,00 m X 0,10 m)/2) X 7,11 m X 2 lados) Volume de CBUQ faixa elevada 02) + ((3,50 m X 7,03 m X 0,10 m) + ((1,00 m X 0,10 m)/2) X 7,03 m X 2 lados) Volume de CBUQ faixa elevada 03)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</si>
</sst>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d&quot; de &quot;mmmm&quot; de &quot;yyyy"/>
    <numFmt numFmtId="166" formatCode="#,##0.0"/>
    <numFmt numFmtId="167" formatCode="&quot;R$&quot;\ #,##0.00"/>
    <numFmt numFmtId="168" formatCode="###,##0.00;###,##0.00;* &quot; &quot;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Arial MT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24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3" borderId="0" applyNumberFormat="0" applyBorder="0" applyAlignment="0" applyProtection="0"/>
    <xf numFmtId="0" fontId="11" fillId="0" borderId="0"/>
    <xf numFmtId="0" fontId="13" fillId="4" borderId="0" applyNumberFormat="0" applyBorder="0" applyAlignment="0" applyProtection="0"/>
    <xf numFmtId="9" fontId="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30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0" fontId="5" fillId="0" borderId="2" xfId="1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4" fillId="0" borderId="11" xfId="0" applyFont="1" applyBorder="1"/>
    <xf numFmtId="0" fontId="4" fillId="0" borderId="12" xfId="0" applyFont="1" applyBorder="1"/>
    <xf numFmtId="0" fontId="5" fillId="0" borderId="11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4" fillId="2" borderId="1" xfId="0" applyFont="1" applyFill="1" applyBorder="1"/>
    <xf numFmtId="0" fontId="4" fillId="2" borderId="17" xfId="0" applyFont="1" applyFill="1" applyBorder="1"/>
    <xf numFmtId="0" fontId="4" fillId="0" borderId="15" xfId="0" applyFont="1" applyBorder="1"/>
    <xf numFmtId="0" fontId="4" fillId="0" borderId="16" xfId="0" applyFont="1" applyBorder="1"/>
    <xf numFmtId="0" fontId="4" fillId="0" borderId="6" xfId="0" applyFont="1" applyBorder="1"/>
    <xf numFmtId="0" fontId="4" fillId="0" borderId="0" xfId="0" applyFont="1" applyAlignment="1">
      <alignment horizontal="center"/>
    </xf>
    <xf numFmtId="0" fontId="10" fillId="5" borderId="1" xfId="4" applyFont="1" applyFill="1" applyBorder="1" applyAlignment="1">
      <alignment horizontal="left" vertical="center" wrapText="1"/>
    </xf>
    <xf numFmtId="0" fontId="10" fillId="5" borderId="1" xfId="4" applyFont="1" applyFill="1" applyBorder="1" applyAlignment="1">
      <alignment horizontal="center" vertical="center" wrapText="1"/>
    </xf>
    <xf numFmtId="10" fontId="12" fillId="5" borderId="2" xfId="6" applyNumberFormat="1" applyFont="1" applyFill="1" applyBorder="1" applyAlignment="1">
      <alignment horizontal="center" vertical="center"/>
    </xf>
    <xf numFmtId="0" fontId="4" fillId="0" borderId="11" xfId="5" applyFont="1" applyBorder="1" applyAlignment="1">
      <alignment horizontal="center"/>
    </xf>
    <xf numFmtId="0" fontId="4" fillId="0" borderId="12" xfId="5" applyFont="1" applyBorder="1" applyAlignment="1">
      <alignment horizontal="center"/>
    </xf>
    <xf numFmtId="0" fontId="0" fillId="6" borderId="0" xfId="0" applyFill="1"/>
    <xf numFmtId="0" fontId="0" fillId="7" borderId="0" xfId="0" applyFill="1"/>
    <xf numFmtId="0" fontId="12" fillId="2" borderId="7" xfId="5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horizontal="center" vertical="center"/>
    </xf>
    <xf numFmtId="0" fontId="0" fillId="2" borderId="0" xfId="0" applyFill="1"/>
    <xf numFmtId="0" fontId="12" fillId="2" borderId="1" xfId="5" applyFont="1" applyFill="1" applyBorder="1" applyAlignment="1">
      <alignment vertical="center"/>
    </xf>
    <xf numFmtId="2" fontId="12" fillId="2" borderId="2" xfId="6" applyNumberFormat="1" applyFont="1" applyFill="1" applyBorder="1" applyAlignment="1">
      <alignment horizontal="center" vertical="center"/>
    </xf>
    <xf numFmtId="0" fontId="12" fillId="2" borderId="2" xfId="5" applyFont="1" applyFill="1" applyBorder="1" applyAlignment="1">
      <alignment vertical="center"/>
    </xf>
    <xf numFmtId="44" fontId="5" fillId="2" borderId="2" xfId="3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 wrapText="1"/>
    </xf>
    <xf numFmtId="0" fontId="5" fillId="0" borderId="33" xfId="0" applyFont="1" applyBorder="1" applyAlignment="1">
      <alignment horizontal="right" vertical="center" wrapText="1"/>
    </xf>
    <xf numFmtId="44" fontId="5" fillId="0" borderId="34" xfId="3" applyFont="1" applyFill="1" applyBorder="1" applyAlignment="1">
      <alignment horizontal="center" vertical="center" wrapText="1"/>
    </xf>
    <xf numFmtId="44" fontId="4" fillId="0" borderId="0" xfId="3" applyFont="1" applyAlignment="1">
      <alignment vertical="center"/>
    </xf>
    <xf numFmtId="44" fontId="4" fillId="2" borderId="1" xfId="3" applyFont="1" applyFill="1" applyBorder="1" applyAlignment="1">
      <alignment vertical="center"/>
    </xf>
    <xf numFmtId="2" fontId="4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5" fillId="0" borderId="0" xfId="0" applyFont="1"/>
    <xf numFmtId="1" fontId="17" fillId="0" borderId="1" xfId="0" applyNumberFormat="1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2" fontId="4" fillId="2" borderId="0" xfId="0" applyNumberFormat="1" applyFont="1" applyFill="1" applyAlignment="1">
      <alignment vertical="center"/>
    </xf>
    <xf numFmtId="44" fontId="4" fillId="2" borderId="0" xfId="3" applyFont="1" applyFill="1"/>
    <xf numFmtId="2" fontId="6" fillId="2" borderId="1" xfId="2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2" fillId="0" borderId="7" xfId="5" applyFont="1" applyBorder="1" applyAlignment="1">
      <alignment horizontal="center"/>
    </xf>
    <xf numFmtId="0" fontId="2" fillId="0" borderId="1" xfId="5" applyFont="1" applyBorder="1"/>
    <xf numFmtId="0" fontId="2" fillId="0" borderId="1" xfId="5" applyFont="1" applyBorder="1" applyAlignment="1">
      <alignment horizontal="center"/>
    </xf>
    <xf numFmtId="10" fontId="2" fillId="0" borderId="2" xfId="7" applyNumberFormat="1" applyFont="1" applyBorder="1" applyAlignment="1">
      <alignment horizontal="right"/>
    </xf>
    <xf numFmtId="10" fontId="2" fillId="0" borderId="2" xfId="7" applyNumberFormat="1" applyFont="1" applyBorder="1"/>
    <xf numFmtId="10" fontId="2" fillId="0" borderId="2" xfId="7" applyNumberFormat="1" applyFont="1" applyFill="1" applyBorder="1"/>
    <xf numFmtId="10" fontId="2" fillId="5" borderId="2" xfId="7" applyNumberFormat="1" applyFont="1" applyFill="1" applyBorder="1" applyAlignment="1">
      <alignment horizontal="right"/>
    </xf>
    <xf numFmtId="0" fontId="2" fillId="0" borderId="23" xfId="5" applyFont="1" applyBorder="1"/>
    <xf numFmtId="0" fontId="2" fillId="0" borderId="25" xfId="5" applyFont="1" applyBorder="1"/>
    <xf numFmtId="0" fontId="2" fillId="0" borderId="11" xfId="5" applyFont="1" applyBorder="1"/>
    <xf numFmtId="0" fontId="2" fillId="0" borderId="12" xfId="5" applyFont="1" applyBorder="1"/>
    <xf numFmtId="0" fontId="2" fillId="0" borderId="15" xfId="5" applyFont="1" applyBorder="1"/>
    <xf numFmtId="0" fontId="2" fillId="0" borderId="16" xfId="5" applyFont="1" applyBorder="1"/>
    <xf numFmtId="0" fontId="2" fillId="0" borderId="6" xfId="5" applyFont="1" applyBorder="1"/>
    <xf numFmtId="0" fontId="9" fillId="0" borderId="1" xfId="5" applyFont="1" applyBorder="1" applyAlignment="1">
      <alignment horizontal="center" vertical="center"/>
    </xf>
    <xf numFmtId="0" fontId="8" fillId="8" borderId="1" xfId="5" applyFont="1" applyFill="1" applyBorder="1" applyAlignment="1">
      <alignment horizontal="center" vertical="center"/>
    </xf>
    <xf numFmtId="44" fontId="9" fillId="0" borderId="1" xfId="3" applyFont="1" applyBorder="1" applyAlignment="1">
      <alignment horizontal="center" vertical="center"/>
    </xf>
    <xf numFmtId="10" fontId="9" fillId="0" borderId="1" xfId="1" applyNumberFormat="1" applyFont="1" applyBorder="1" applyAlignment="1">
      <alignment horizontal="center" vertical="center"/>
    </xf>
    <xf numFmtId="44" fontId="9" fillId="0" borderId="1" xfId="3" applyFont="1" applyFill="1" applyBorder="1" applyAlignment="1">
      <alignment horizontal="center" vertical="center"/>
    </xf>
    <xf numFmtId="44" fontId="8" fillId="8" borderId="1" xfId="3" applyFont="1" applyFill="1" applyBorder="1" applyAlignment="1">
      <alignment horizontal="center" vertical="center"/>
    </xf>
    <xf numFmtId="0" fontId="8" fillId="5" borderId="30" xfId="5" applyFont="1" applyFill="1" applyBorder="1" applyAlignment="1">
      <alignment horizontal="left" vertical="center" wrapText="1"/>
    </xf>
    <xf numFmtId="0" fontId="8" fillId="5" borderId="31" xfId="5" applyFont="1" applyFill="1" applyBorder="1" applyAlignment="1">
      <alignment horizontal="left" vertical="center" wrapText="1"/>
    </xf>
    <xf numFmtId="167" fontId="9" fillId="0" borderId="0" xfId="8" applyNumberFormat="1" applyFont="1" applyFill="1" applyBorder="1" applyAlignment="1">
      <alignment horizontal="center" vertical="center"/>
    </xf>
    <xf numFmtId="44" fontId="8" fillId="0" borderId="1" xfId="3" applyFont="1" applyBorder="1" applyAlignment="1">
      <alignment horizontal="left" vertical="center"/>
    </xf>
    <xf numFmtId="10" fontId="8" fillId="0" borderId="1" xfId="1" applyNumberFormat="1" applyFont="1" applyBorder="1" applyAlignment="1">
      <alignment horizontal="center" vertical="center"/>
    </xf>
    <xf numFmtId="44" fontId="8" fillId="0" borderId="1" xfId="3" applyFont="1" applyBorder="1" applyAlignment="1">
      <alignment horizontal="center" vertical="center"/>
    </xf>
    <xf numFmtId="10" fontId="8" fillId="0" borderId="1" xfId="5" applyNumberFormat="1" applyFont="1" applyBorder="1" applyAlignment="1">
      <alignment horizontal="center" vertical="center"/>
    </xf>
    <xf numFmtId="10" fontId="9" fillId="0" borderId="0" xfId="8" applyNumberFormat="1" applyFont="1" applyBorder="1" applyAlignment="1">
      <alignment horizontal="center"/>
    </xf>
    <xf numFmtId="49" fontId="9" fillId="0" borderId="0" xfId="8" applyNumberFormat="1" applyFont="1" applyBorder="1" applyAlignment="1">
      <alignment horizontal="center"/>
    </xf>
    <xf numFmtId="0" fontId="12" fillId="0" borderId="10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0" xfId="0" applyFont="1"/>
    <xf numFmtId="0" fontId="15" fillId="0" borderId="0" xfId="0" applyFont="1" applyAlignment="1">
      <alignment vertical="center"/>
    </xf>
    <xf numFmtId="0" fontId="15" fillId="0" borderId="12" xfId="0" applyFont="1" applyBorder="1" applyAlignment="1">
      <alignment vertical="center"/>
    </xf>
    <xf numFmtId="1" fontId="9" fillId="0" borderId="1" xfId="5" applyNumberFormat="1" applyFont="1" applyBorder="1" applyAlignment="1">
      <alignment horizontal="center" vertical="center" wrapText="1"/>
    </xf>
    <xf numFmtId="1" fontId="9" fillId="0" borderId="1" xfId="5" applyNumberFormat="1" applyFont="1" applyBorder="1" applyAlignment="1">
      <alignment horizontal="left" vertical="center" wrapText="1"/>
    </xf>
    <xf numFmtId="1" fontId="9" fillId="0" borderId="1" xfId="8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1" xfId="0" applyFont="1" applyBorder="1"/>
    <xf numFmtId="0" fontId="5" fillId="0" borderId="0" xfId="0" applyFont="1"/>
    <xf numFmtId="0" fontId="5" fillId="0" borderId="12" xfId="0" applyFont="1" applyBorder="1"/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44" fontId="6" fillId="0" borderId="1" xfId="3" applyFont="1" applyFill="1" applyBorder="1" applyAlignment="1">
      <alignment horizontal="center" vertical="center" wrapText="1"/>
    </xf>
    <xf numFmtId="44" fontId="4" fillId="0" borderId="0" xfId="3" applyFont="1" applyFill="1" applyAlignment="1">
      <alignment vertical="center"/>
    </xf>
    <xf numFmtId="44" fontId="4" fillId="0" borderId="0" xfId="3" applyFont="1" applyFill="1"/>
    <xf numFmtId="0" fontId="5" fillId="2" borderId="1" xfId="0" applyFont="1" applyFill="1" applyBorder="1" applyAlignment="1">
      <alignment horizontal="center" vertical="center" wrapText="1"/>
    </xf>
    <xf numFmtId="4" fontId="4" fillId="0" borderId="0" xfId="0" applyNumberFormat="1" applyFont="1"/>
    <xf numFmtId="4" fontId="6" fillId="0" borderId="0" xfId="0" applyNumberFormat="1" applyFont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165" fontId="9" fillId="0" borderId="28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4" fontId="6" fillId="0" borderId="2" xfId="3" applyFont="1" applyFill="1" applyBorder="1" applyAlignment="1">
      <alignment horizontal="center" vertical="center" wrapText="1"/>
    </xf>
    <xf numFmtId="0" fontId="2" fillId="0" borderId="0" xfId="5" applyFont="1"/>
    <xf numFmtId="165" fontId="2" fillId="0" borderId="0" xfId="0" applyNumberFormat="1" applyFont="1" applyAlignment="1">
      <alignment horizontal="left" vertical="center"/>
    </xf>
    <xf numFmtId="0" fontId="4" fillId="0" borderId="0" xfId="5" applyFont="1" applyAlignment="1">
      <alignment horizontal="center"/>
    </xf>
    <xf numFmtId="0" fontId="8" fillId="7" borderId="35" xfId="5" applyFont="1" applyFill="1" applyBorder="1" applyAlignment="1">
      <alignment horizontal="center" vertical="center"/>
    </xf>
    <xf numFmtId="0" fontId="8" fillId="0" borderId="7" xfId="5" applyFont="1" applyBorder="1" applyAlignment="1">
      <alignment horizontal="center" vertical="center"/>
    </xf>
    <xf numFmtId="0" fontId="8" fillId="8" borderId="2" xfId="5" applyFont="1" applyFill="1" applyBorder="1" applyAlignment="1">
      <alignment horizontal="center" vertical="center"/>
    </xf>
    <xf numFmtId="166" fontId="8" fillId="8" borderId="7" xfId="5" applyNumberFormat="1" applyFont="1" applyFill="1" applyBorder="1" applyAlignment="1">
      <alignment horizontal="center" vertical="center"/>
    </xf>
    <xf numFmtId="10" fontId="8" fillId="8" borderId="2" xfId="1" applyNumberFormat="1" applyFont="1" applyFill="1" applyBorder="1" applyAlignment="1">
      <alignment horizontal="center" vertical="center"/>
    </xf>
    <xf numFmtId="166" fontId="8" fillId="8" borderId="35" xfId="5" applyNumberFormat="1" applyFont="1" applyFill="1" applyBorder="1" applyAlignment="1">
      <alignment horizontal="center" vertical="center"/>
    </xf>
    <xf numFmtId="166" fontId="8" fillId="5" borderId="35" xfId="5" applyNumberFormat="1" applyFont="1" applyFill="1" applyBorder="1" applyAlignment="1">
      <alignment horizontal="center" vertical="center"/>
    </xf>
    <xf numFmtId="167" fontId="8" fillId="0" borderId="0" xfId="5" applyNumberFormat="1" applyFont="1" applyAlignment="1">
      <alignment horizontal="left" vertical="center"/>
    </xf>
    <xf numFmtId="0" fontId="9" fillId="0" borderId="0" xfId="5" applyFont="1" applyAlignment="1">
      <alignment horizontal="left" vertical="center"/>
    </xf>
    <xf numFmtId="10" fontId="9" fillId="0" borderId="0" xfId="5" applyNumberFormat="1" applyFont="1" applyAlignment="1">
      <alignment horizontal="center" vertical="center"/>
    </xf>
    <xf numFmtId="10" fontId="6" fillId="0" borderId="12" xfId="5" applyNumberFormat="1" applyFont="1" applyBorder="1" applyAlignment="1">
      <alignment horizontal="center" vertical="center"/>
    </xf>
    <xf numFmtId="166" fontId="8" fillId="0" borderId="7" xfId="5" applyNumberFormat="1" applyFont="1" applyBorder="1" applyAlignment="1">
      <alignment horizontal="center" vertical="center"/>
    </xf>
    <xf numFmtId="10" fontId="8" fillId="0" borderId="2" xfId="5" applyNumberFormat="1" applyFont="1" applyBorder="1" applyAlignment="1">
      <alignment horizontal="center" vertical="center"/>
    </xf>
    <xf numFmtId="10" fontId="8" fillId="0" borderId="2" xfId="8" applyNumberFormat="1" applyFont="1" applyBorder="1" applyAlignment="1">
      <alignment horizontal="center" vertical="center"/>
    </xf>
    <xf numFmtId="166" fontId="8" fillId="0" borderId="11" xfId="5" applyNumberFormat="1" applyFont="1" applyBorder="1" applyAlignment="1">
      <alignment horizontal="center"/>
    </xf>
    <xf numFmtId="0" fontId="9" fillId="0" borderId="0" xfId="5" applyFont="1" applyAlignment="1">
      <alignment horizontal="left"/>
    </xf>
    <xf numFmtId="168" fontId="9" fillId="0" borderId="0" xfId="5" applyNumberFormat="1" applyFont="1" applyAlignment="1">
      <alignment horizontal="center"/>
    </xf>
    <xf numFmtId="168" fontId="6" fillId="0" borderId="12" xfId="5" applyNumberFormat="1" applyFont="1" applyBorder="1" applyAlignment="1">
      <alignment horizontal="center"/>
    </xf>
    <xf numFmtId="0" fontId="9" fillId="0" borderId="11" xfId="5" applyFont="1" applyBorder="1" applyAlignment="1">
      <alignment horizontal="center"/>
    </xf>
    <xf numFmtId="0" fontId="9" fillId="0" borderId="0" xfId="5" applyFont="1"/>
    <xf numFmtId="0" fontId="9" fillId="0" borderId="12" xfId="5" applyFont="1" applyBorder="1"/>
    <xf numFmtId="0" fontId="16" fillId="0" borderId="0" xfId="5" applyFont="1" applyAlignment="1">
      <alignment horizontal="center" vertical="center"/>
    </xf>
    <xf numFmtId="167" fontId="16" fillId="0" borderId="0" xfId="5" applyNumberFormat="1" applyFont="1" applyAlignment="1">
      <alignment horizontal="center" vertical="center"/>
    </xf>
    <xf numFmtId="167" fontId="16" fillId="0" borderId="12" xfId="5" applyNumberFormat="1" applyFont="1" applyBorder="1" applyAlignment="1">
      <alignment horizontal="center" vertical="center"/>
    </xf>
    <xf numFmtId="0" fontId="16" fillId="0" borderId="12" xfId="5" applyFont="1" applyBorder="1" applyAlignment="1">
      <alignment horizontal="center" vertical="center"/>
    </xf>
    <xf numFmtId="0" fontId="9" fillId="0" borderId="11" xfId="0" applyFont="1" applyBorder="1"/>
    <xf numFmtId="0" fontId="8" fillId="0" borderId="11" xfId="0" applyFont="1" applyBorder="1"/>
    <xf numFmtId="0" fontId="9" fillId="0" borderId="15" xfId="0" applyFont="1" applyBorder="1"/>
    <xf numFmtId="0" fontId="6" fillId="0" borderId="16" xfId="0" applyFont="1" applyBorder="1" applyAlignment="1">
      <alignment horizontal="center" vertical="center"/>
    </xf>
    <xf numFmtId="0" fontId="9" fillId="0" borderId="16" xfId="0" applyFont="1" applyBorder="1"/>
    <xf numFmtId="0" fontId="9" fillId="0" borderId="6" xfId="0" applyFont="1" applyBorder="1"/>
    <xf numFmtId="0" fontId="6" fillId="0" borderId="17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4" fontId="4" fillId="0" borderId="0" xfId="0" applyNumberFormat="1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4" fontId="4" fillId="0" borderId="0" xfId="0" applyNumberFormat="1" applyFont="1"/>
    <xf numFmtId="1" fontId="18" fillId="0" borderId="1" xfId="5" applyNumberFormat="1" applyFont="1" applyBorder="1" applyAlignment="1">
      <alignment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5" fillId="7" borderId="41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 wrapText="1"/>
    </xf>
    <xf numFmtId="0" fontId="5" fillId="7" borderId="43" xfId="0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4" fontId="6" fillId="0" borderId="1" xfId="3" applyFont="1" applyFill="1" applyBorder="1" applyAlignment="1">
      <alignment horizontal="left" vertical="center" wrapText="1"/>
    </xf>
    <xf numFmtId="44" fontId="6" fillId="0" borderId="2" xfId="3" applyFont="1" applyFill="1" applyBorder="1" applyAlignment="1">
      <alignment horizontal="left" vertical="center" wrapText="1"/>
    </xf>
    <xf numFmtId="0" fontId="6" fillId="0" borderId="26" xfId="3" applyNumberFormat="1" applyFont="1" applyFill="1" applyBorder="1" applyAlignment="1">
      <alignment horizontal="left" vertical="center" wrapText="1"/>
    </xf>
    <xf numFmtId="0" fontId="6" fillId="0" borderId="27" xfId="3" applyNumberFormat="1" applyFont="1" applyFill="1" applyBorder="1" applyAlignment="1">
      <alignment horizontal="left" vertical="center" wrapText="1"/>
    </xf>
    <xf numFmtId="0" fontId="6" fillId="0" borderId="37" xfId="3" applyNumberFormat="1" applyFont="1" applyFill="1" applyBorder="1" applyAlignment="1">
      <alignment horizontal="left" vertical="center" wrapText="1"/>
    </xf>
    <xf numFmtId="0" fontId="6" fillId="0" borderId="1" xfId="3" applyNumberFormat="1" applyFont="1" applyFill="1" applyBorder="1" applyAlignment="1">
      <alignment horizontal="left" vertical="center" wrapText="1"/>
    </xf>
    <xf numFmtId="0" fontId="6" fillId="0" borderId="2" xfId="3" applyNumberFormat="1" applyFont="1" applyFill="1" applyBorder="1" applyAlignment="1">
      <alignment horizontal="left" vertical="center" wrapText="1"/>
    </xf>
    <xf numFmtId="44" fontId="5" fillId="2" borderId="1" xfId="3" applyFont="1" applyFill="1" applyBorder="1" applyAlignment="1">
      <alignment horizontal="left" vertical="center" wrapText="1"/>
    </xf>
    <xf numFmtId="44" fontId="5" fillId="2" borderId="2" xfId="3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4" fontId="5" fillId="2" borderId="1" xfId="3" applyFont="1" applyFill="1" applyBorder="1" applyAlignment="1">
      <alignment horizontal="center" vertical="center" wrapText="1"/>
    </xf>
    <xf numFmtId="44" fontId="5" fillId="2" borderId="2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44" fontId="6" fillId="0" borderId="26" xfId="3" applyFont="1" applyFill="1" applyBorder="1" applyAlignment="1">
      <alignment horizontal="left" vertical="center" wrapText="1"/>
    </xf>
    <xf numFmtId="44" fontId="6" fillId="0" borderId="27" xfId="3" applyFont="1" applyFill="1" applyBorder="1" applyAlignment="1">
      <alignment horizontal="left" vertical="center" wrapText="1"/>
    </xf>
    <xf numFmtId="44" fontId="6" fillId="0" borderId="37" xfId="3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left" vertical="center" wrapText="1"/>
    </xf>
    <xf numFmtId="49" fontId="6" fillId="0" borderId="2" xfId="3" applyNumberFormat="1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5" fillId="2" borderId="17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5" fillId="0" borderId="11" xfId="5" applyFont="1" applyBorder="1" applyAlignment="1">
      <alignment horizontal="center"/>
    </xf>
    <xf numFmtId="0" fontId="15" fillId="0" borderId="0" xfId="5" applyFont="1" applyAlignment="1">
      <alignment horizontal="center"/>
    </xf>
    <xf numFmtId="0" fontId="15" fillId="0" borderId="12" xfId="5" applyFont="1" applyBorder="1" applyAlignment="1">
      <alignment horizontal="center"/>
    </xf>
    <xf numFmtId="0" fontId="4" fillId="0" borderId="11" xfId="5" applyFont="1" applyBorder="1" applyAlignment="1">
      <alignment horizontal="left" vertical="center"/>
    </xf>
    <xf numFmtId="0" fontId="4" fillId="0" borderId="0" xfId="5" applyFont="1" applyAlignment="1">
      <alignment horizontal="left" vertical="center"/>
    </xf>
    <xf numFmtId="0" fontId="4" fillId="0" borderId="12" xfId="5" applyFont="1" applyBorder="1" applyAlignment="1">
      <alignment horizontal="left" vertical="center"/>
    </xf>
    <xf numFmtId="0" fontId="12" fillId="7" borderId="7" xfId="6" applyFont="1" applyFill="1" applyBorder="1" applyAlignment="1">
      <alignment horizontal="center" vertical="center"/>
    </xf>
    <xf numFmtId="0" fontId="12" fillId="7" borderId="1" xfId="6" applyFont="1" applyFill="1" applyBorder="1" applyAlignment="1">
      <alignment horizontal="center" vertical="center"/>
    </xf>
    <xf numFmtId="0" fontId="12" fillId="7" borderId="2" xfId="6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horizontal="center" vertical="center"/>
    </xf>
    <xf numFmtId="0" fontId="12" fillId="2" borderId="2" xfId="5" applyFont="1" applyFill="1" applyBorder="1" applyAlignment="1">
      <alignment horizontal="center" vertical="center"/>
    </xf>
    <xf numFmtId="0" fontId="14" fillId="5" borderId="7" xfId="4" applyFont="1" applyFill="1" applyBorder="1" applyAlignment="1">
      <alignment horizontal="center" vertical="center"/>
    </xf>
    <xf numFmtId="0" fontId="14" fillId="5" borderId="1" xfId="4" applyFont="1" applyFill="1" applyBorder="1" applyAlignment="1">
      <alignment horizontal="center" vertical="center"/>
    </xf>
    <xf numFmtId="0" fontId="2" fillId="0" borderId="24" xfId="5" applyFont="1" applyBorder="1" applyAlignment="1">
      <alignment horizontal="center" wrapText="1"/>
    </xf>
    <xf numFmtId="0" fontId="2" fillId="0" borderId="11" xfId="5" applyFont="1" applyBorder="1" applyAlignment="1">
      <alignment horizontal="center"/>
    </xf>
    <xf numFmtId="0" fontId="2" fillId="0" borderId="0" xfId="5" applyFont="1" applyAlignment="1">
      <alignment horizontal="center"/>
    </xf>
    <xf numFmtId="0" fontId="2" fillId="0" borderId="12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 wrapText="1"/>
    </xf>
    <xf numFmtId="0" fontId="4" fillId="0" borderId="0" xfId="5" applyFont="1" applyAlignment="1">
      <alignment horizontal="center" vertical="center" wrapText="1"/>
    </xf>
    <xf numFmtId="0" fontId="4" fillId="0" borderId="12" xfId="5" applyFont="1" applyBorder="1" applyAlignment="1">
      <alignment horizontal="center" vertical="center" wrapText="1"/>
    </xf>
    <xf numFmtId="0" fontId="12" fillId="0" borderId="7" xfId="5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center" wrapText="1"/>
    </xf>
    <xf numFmtId="0" fontId="12" fillId="0" borderId="2" xfId="5" applyFont="1" applyBorder="1" applyAlignment="1">
      <alignment horizontal="left" vertical="center" wrapText="1"/>
    </xf>
    <xf numFmtId="0" fontId="12" fillId="6" borderId="41" xfId="5" applyFont="1" applyFill="1" applyBorder="1" applyAlignment="1">
      <alignment horizontal="center" vertical="center"/>
    </xf>
    <xf numFmtId="0" fontId="12" fillId="6" borderId="42" xfId="5" applyFont="1" applyFill="1" applyBorder="1" applyAlignment="1">
      <alignment horizontal="center" vertical="center"/>
    </xf>
    <xf numFmtId="0" fontId="12" fillId="6" borderId="43" xfId="5" applyFont="1" applyFill="1" applyBorder="1" applyAlignment="1">
      <alignment horizontal="center" vertical="center"/>
    </xf>
    <xf numFmtId="0" fontId="12" fillId="7" borderId="35" xfId="5" applyFont="1" applyFill="1" applyBorder="1" applyAlignment="1">
      <alignment horizontal="left" vertical="center" wrapText="1"/>
    </xf>
    <xf numFmtId="0" fontId="12" fillId="7" borderId="29" xfId="5" applyFont="1" applyFill="1" applyBorder="1" applyAlignment="1">
      <alignment horizontal="left" vertical="center" wrapText="1"/>
    </xf>
    <xf numFmtId="0" fontId="12" fillId="7" borderId="36" xfId="5" applyFont="1" applyFill="1" applyBorder="1" applyAlignment="1">
      <alignment horizontal="left" vertical="center" wrapText="1"/>
    </xf>
    <xf numFmtId="0" fontId="8" fillId="8" borderId="1" xfId="5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8" fillId="7" borderId="29" xfId="5" applyFont="1" applyFill="1" applyBorder="1" applyAlignment="1">
      <alignment horizontal="center" vertical="center"/>
    </xf>
    <xf numFmtId="0" fontId="8" fillId="7" borderId="36" xfId="5" applyFont="1" applyFill="1" applyBorder="1" applyAlignment="1">
      <alignment horizontal="center" vertical="center"/>
    </xf>
    <xf numFmtId="0" fontId="8" fillId="0" borderId="1" xfId="5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0" xfId="5" applyFont="1" applyAlignment="1">
      <alignment horizontal="center" vertical="center" wrapText="1"/>
    </xf>
    <xf numFmtId="0" fontId="16" fillId="0" borderId="0" xfId="5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center"/>
    </xf>
    <xf numFmtId="0" fontId="9" fillId="0" borderId="11" xfId="5" applyFont="1" applyBorder="1" applyAlignment="1">
      <alignment horizontal="center"/>
    </xf>
    <xf numFmtId="0" fontId="9" fillId="0" borderId="0" xfId="5" applyFont="1" applyAlignment="1">
      <alignment horizontal="center"/>
    </xf>
    <xf numFmtId="0" fontId="8" fillId="7" borderId="41" xfId="5" applyFont="1" applyFill="1" applyBorder="1" applyAlignment="1">
      <alignment horizontal="center" vertical="center"/>
    </xf>
    <xf numFmtId="0" fontId="8" fillId="7" borderId="42" xfId="5" applyFont="1" applyFill="1" applyBorder="1" applyAlignment="1">
      <alignment horizontal="center" vertical="center"/>
    </xf>
    <xf numFmtId="0" fontId="8" fillId="7" borderId="43" xfId="5" applyFont="1" applyFill="1" applyBorder="1" applyAlignment="1">
      <alignment horizontal="center" vertical="center"/>
    </xf>
    <xf numFmtId="0" fontId="5" fillId="0" borderId="47" xfId="5" applyFont="1" applyBorder="1" applyAlignment="1">
      <alignment horizontal="left" vertical="center" wrapText="1"/>
    </xf>
    <xf numFmtId="0" fontId="5" fillId="0" borderId="40" xfId="5" applyFont="1" applyBorder="1" applyAlignment="1">
      <alignment horizontal="left" vertical="center" wrapText="1"/>
    </xf>
    <xf numFmtId="0" fontId="5" fillId="0" borderId="48" xfId="5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32" xfId="5" applyFont="1" applyBorder="1" applyAlignment="1">
      <alignment horizontal="left" vertical="center" wrapText="1"/>
    </xf>
    <xf numFmtId="0" fontId="5" fillId="0" borderId="33" xfId="5" applyFont="1" applyBorder="1" applyAlignment="1">
      <alignment horizontal="left" vertical="center" wrapText="1"/>
    </xf>
    <xf numFmtId="0" fontId="5" fillId="0" borderId="34" xfId="5" applyFont="1" applyBorder="1" applyAlignment="1">
      <alignment horizontal="left" vertical="center" wrapText="1"/>
    </xf>
    <xf numFmtId="0" fontId="5" fillId="0" borderId="39" xfId="5" applyFont="1" applyBorder="1" applyAlignment="1">
      <alignment horizontal="left" vertical="center" wrapText="1"/>
    </xf>
    <xf numFmtId="0" fontId="5" fillId="0" borderId="27" xfId="5" applyFont="1" applyBorder="1" applyAlignment="1">
      <alignment horizontal="left" vertical="center" wrapText="1"/>
    </xf>
    <xf numFmtId="0" fontId="5" fillId="0" borderId="37" xfId="5" applyFont="1" applyBorder="1" applyAlignment="1">
      <alignment horizontal="left" vertical="center" wrapText="1"/>
    </xf>
    <xf numFmtId="0" fontId="5" fillId="0" borderId="39" xfId="5" applyFont="1" applyBorder="1" applyAlignment="1">
      <alignment horizontal="left" vertical="center"/>
    </xf>
    <xf numFmtId="0" fontId="5" fillId="0" borderId="27" xfId="5" applyFont="1" applyBorder="1" applyAlignment="1">
      <alignment horizontal="left" vertical="center"/>
    </xf>
    <xf numFmtId="0" fontId="5" fillId="0" borderId="17" xfId="5" applyFont="1" applyBorder="1" applyAlignment="1">
      <alignment horizontal="left" vertical="center"/>
    </xf>
    <xf numFmtId="0" fontId="5" fillId="0" borderId="17" xfId="5" applyFont="1" applyBorder="1" applyAlignment="1">
      <alignment horizontal="left" vertical="center" wrapText="1"/>
    </xf>
    <xf numFmtId="0" fontId="9" fillId="0" borderId="0" xfId="5" applyFont="1" applyAlignment="1">
      <alignment horizontal="right"/>
    </xf>
    <xf numFmtId="0" fontId="9" fillId="0" borderId="38" xfId="5" applyFont="1" applyBorder="1" applyAlignment="1">
      <alignment horizontal="right"/>
    </xf>
  </cellXfs>
  <cellStyles count="9">
    <cellStyle name="20% - Ênfase1" xfId="4" builtinId="30"/>
    <cellStyle name="60% - Ênfase1 2" xfId="6" xr:uid="{00000000-0005-0000-0000-000001000000}"/>
    <cellStyle name="Moeda" xfId="3" builtinId="4"/>
    <cellStyle name="Normal" xfId="0" builtinId="0"/>
    <cellStyle name="Normal 2" xfId="5" xr:uid="{00000000-0005-0000-0000-000004000000}"/>
    <cellStyle name="Porcentagem" xfId="1" builtinId="5"/>
    <cellStyle name="Porcentagem 2 2" xfId="7" xr:uid="{00000000-0005-0000-0000-000006000000}"/>
    <cellStyle name="Vírgula" xfId="2" builtinId="3"/>
    <cellStyle name="Vírgula 2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100853</xdr:colOff>
      <xdr:row>0</xdr:row>
      <xdr:rowOff>156882</xdr:rowOff>
    </xdr:from>
    <xdr:to>
      <xdr:col>3</xdr:col>
      <xdr:colOff>250371</xdr:colOff>
      <xdr:row>0</xdr:row>
      <xdr:rowOff>1055818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C52F30D0-EAA2-4DBC-8749-660EF384D1D9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3453" y="156882"/>
          <a:ext cx="941998" cy="898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493074</xdr:colOff>
      <xdr:row>0</xdr:row>
      <xdr:rowOff>124196</xdr:rowOff>
    </xdr:from>
    <xdr:to>
      <xdr:col>8</xdr:col>
      <xdr:colOff>991527</xdr:colOff>
      <xdr:row>0</xdr:row>
      <xdr:rowOff>981446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48D5DBE-6EF2-4A0E-B12B-5B65BE3846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0874" y="124196"/>
          <a:ext cx="2540614" cy="857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100853</xdr:colOff>
      <xdr:row>0</xdr:row>
      <xdr:rowOff>156882</xdr:rowOff>
    </xdr:from>
    <xdr:to>
      <xdr:col>3</xdr:col>
      <xdr:colOff>250371</xdr:colOff>
      <xdr:row>0</xdr:row>
      <xdr:rowOff>1055818</xdr:rowOff>
    </xdr:to>
    <xdr:pic>
      <xdr:nvPicPr>
        <xdr:cNvPr id="11" name="Imagem 4">
          <a:extLst>
            <a:ext uri="{FF2B5EF4-FFF2-40B4-BE49-F238E27FC236}">
              <a16:creationId xmlns:a16="http://schemas.microsoft.com/office/drawing/2014/main" id="{77F4C05A-CED1-4F9D-9501-B469881A7C75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167" y="156882"/>
          <a:ext cx="944175" cy="898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493074</xdr:colOff>
      <xdr:row>0</xdr:row>
      <xdr:rowOff>124196</xdr:rowOff>
    </xdr:from>
    <xdr:to>
      <xdr:col>8</xdr:col>
      <xdr:colOff>991528</xdr:colOff>
      <xdr:row>0</xdr:row>
      <xdr:rowOff>981446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8275A93D-0841-4BEE-8023-48523AA552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5474" y="124196"/>
          <a:ext cx="2544968" cy="857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192156</xdr:colOff>
      <xdr:row>0</xdr:row>
      <xdr:rowOff>178904</xdr:rowOff>
    </xdr:from>
    <xdr:to>
      <xdr:col>0</xdr:col>
      <xdr:colOff>755879</xdr:colOff>
      <xdr:row>1</xdr:row>
      <xdr:rowOff>510208</xdr:rowOff>
    </xdr:to>
    <xdr:pic>
      <xdr:nvPicPr>
        <xdr:cNvPr id="7" name="Imagem 4">
          <a:extLst>
            <a:ext uri="{FF2B5EF4-FFF2-40B4-BE49-F238E27FC236}">
              <a16:creationId xmlns:a16="http://schemas.microsoft.com/office/drawing/2014/main" id="{B7C066A6-B131-4138-BE25-167E15A8C34F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156" y="178904"/>
          <a:ext cx="563723" cy="536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3703982</xdr:colOff>
      <xdr:row>0</xdr:row>
      <xdr:rowOff>159027</xdr:rowOff>
    </xdr:from>
    <xdr:to>
      <xdr:col>3</xdr:col>
      <xdr:colOff>713964</xdr:colOff>
      <xdr:row>1</xdr:row>
      <xdr:rowOff>430696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8E0A4C6A-5F9C-4438-844D-757C6A526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6921" y="159027"/>
          <a:ext cx="1416330" cy="47707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493284</xdr:colOff>
      <xdr:row>0</xdr:row>
      <xdr:rowOff>217841</xdr:rowOff>
    </xdr:from>
    <xdr:to>
      <xdr:col>2</xdr:col>
      <xdr:colOff>228600</xdr:colOff>
      <xdr:row>0</xdr:row>
      <xdr:rowOff>1039974</xdr:rowOff>
    </xdr:to>
    <xdr:pic>
      <xdr:nvPicPr>
        <xdr:cNvPr id="8" name="Imagem 4">
          <a:extLst>
            <a:ext uri="{FF2B5EF4-FFF2-40B4-BE49-F238E27FC236}">
              <a16:creationId xmlns:a16="http://schemas.microsoft.com/office/drawing/2014/main" id="{C93801DD-F4A8-4E20-AD48-015D3C4226DB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284" y="217841"/>
          <a:ext cx="901176" cy="822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536938</xdr:colOff>
      <xdr:row>0</xdr:row>
      <xdr:rowOff>255542</xdr:rowOff>
    </xdr:from>
    <xdr:to>
      <xdr:col>12</xdr:col>
      <xdr:colOff>782471</xdr:colOff>
      <xdr:row>0</xdr:row>
      <xdr:rowOff>952500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C52022FC-F34E-4BD4-804C-E848D1891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4798" y="255542"/>
          <a:ext cx="2097193" cy="69695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79514</xdr:colOff>
      <xdr:row>0</xdr:row>
      <xdr:rowOff>93970</xdr:rowOff>
    </xdr:from>
    <xdr:to>
      <xdr:col>13</xdr:col>
      <xdr:colOff>439292</xdr:colOff>
      <xdr:row>21</xdr:row>
      <xdr:rowOff>152401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DB68967-EAD2-4172-A3F4-D4AB043533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514" y="93970"/>
          <a:ext cx="8284578" cy="3549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FE29D-79CF-42B8-8E2F-85F76D6AE1CB}">
  <sheetPr>
    <pageSetUpPr fitToPage="1"/>
  </sheetPr>
  <dimension ref="A1:Q61"/>
  <sheetViews>
    <sheetView showGridLines="0" showZeros="0" view="pageBreakPreview" topLeftCell="A16" zoomScale="70" zoomScaleNormal="100" zoomScaleSheetLayoutView="70" workbookViewId="0">
      <selection activeCell="F22" sqref="F22"/>
    </sheetView>
  </sheetViews>
  <sheetFormatPr defaultColWidth="9.109375" defaultRowHeight="13.2"/>
  <cols>
    <col min="1" max="1" width="10.44140625" style="1" customWidth="1"/>
    <col min="2" max="2" width="15.109375" style="1" customWidth="1"/>
    <col min="3" max="3" width="11.5546875" style="1" bestFit="1" customWidth="1"/>
    <col min="4" max="4" width="75.33203125" style="1" customWidth="1"/>
    <col min="5" max="5" width="12.77734375" style="1" customWidth="1"/>
    <col min="6" max="6" width="17.77734375" style="1" customWidth="1"/>
    <col min="7" max="8" width="14.88671875" style="1" bestFit="1" customWidth="1"/>
    <col min="9" max="9" width="42.88671875" style="1" customWidth="1"/>
    <col min="10" max="10" width="10.5546875" style="1" customWidth="1"/>
    <col min="11" max="11" width="15" style="1" bestFit="1" customWidth="1"/>
    <col min="12" max="12" width="17.44140625" style="1" bestFit="1" customWidth="1"/>
    <col min="13" max="14" width="11.21875" style="1" bestFit="1" customWidth="1"/>
    <col min="15" max="16384" width="9.109375" style="1"/>
  </cols>
  <sheetData>
    <row r="1" spans="1:17" ht="93" customHeight="1" thickBot="1">
      <c r="A1" s="169" t="s">
        <v>74</v>
      </c>
      <c r="B1" s="170"/>
      <c r="C1" s="170"/>
      <c r="D1" s="170"/>
      <c r="E1" s="170"/>
      <c r="F1" s="170"/>
      <c r="G1" s="170"/>
      <c r="H1" s="170"/>
      <c r="I1" s="171"/>
      <c r="J1" s="21"/>
      <c r="K1" s="20"/>
    </row>
    <row r="2" spans="1:17" ht="21.75" customHeight="1" thickBot="1">
      <c r="A2" s="172" t="s">
        <v>70</v>
      </c>
      <c r="B2" s="173"/>
      <c r="C2" s="173"/>
      <c r="D2" s="173"/>
      <c r="E2" s="173"/>
      <c r="F2" s="173"/>
      <c r="G2" s="173"/>
      <c r="H2" s="173"/>
      <c r="I2" s="174"/>
    </row>
    <row r="3" spans="1:17" ht="20.100000000000001" customHeight="1">
      <c r="A3" s="175" t="s">
        <v>91</v>
      </c>
      <c r="B3" s="176"/>
      <c r="C3" s="176"/>
      <c r="D3" s="176"/>
      <c r="E3" s="176"/>
      <c r="F3" s="176"/>
      <c r="G3" s="177" t="s">
        <v>17</v>
      </c>
      <c r="H3" s="177"/>
      <c r="I3" s="178"/>
    </row>
    <row r="4" spans="1:17" ht="33.6" customHeight="1">
      <c r="A4" s="179" t="s">
        <v>113</v>
      </c>
      <c r="B4" s="180"/>
      <c r="C4" s="180"/>
      <c r="D4" s="180"/>
      <c r="E4" s="180"/>
      <c r="F4" s="180"/>
      <c r="G4" s="6" t="s">
        <v>92</v>
      </c>
      <c r="H4" s="181">
        <f ca="1">TODAY()</f>
        <v>46065</v>
      </c>
      <c r="I4" s="182"/>
    </row>
    <row r="5" spans="1:17" ht="15.6">
      <c r="A5" s="183" t="s">
        <v>104</v>
      </c>
      <c r="B5" s="184"/>
      <c r="C5" s="184"/>
      <c r="D5" s="184"/>
      <c r="E5" s="184"/>
      <c r="F5" s="185" t="s">
        <v>10</v>
      </c>
      <c r="G5" s="185"/>
      <c r="H5" s="185"/>
      <c r="I5" s="186"/>
    </row>
    <row r="6" spans="1:17" ht="31.8" customHeight="1">
      <c r="A6" s="187" t="s">
        <v>114</v>
      </c>
      <c r="B6" s="188"/>
      <c r="C6" s="188"/>
      <c r="D6" s="188"/>
      <c r="E6" s="188"/>
      <c r="F6" s="185" t="s">
        <v>8</v>
      </c>
      <c r="G6" s="185" t="s">
        <v>6</v>
      </c>
      <c r="H6" s="6" t="s">
        <v>80</v>
      </c>
      <c r="I6" s="49" t="s">
        <v>7</v>
      </c>
    </row>
    <row r="7" spans="1:17" ht="20.100000000000001" customHeight="1">
      <c r="A7" s="183" t="s">
        <v>103</v>
      </c>
      <c r="B7" s="184"/>
      <c r="C7" s="184"/>
      <c r="D7" s="184"/>
      <c r="E7" s="184"/>
      <c r="F7" s="185"/>
      <c r="G7" s="185"/>
      <c r="H7" s="7" t="s">
        <v>21</v>
      </c>
      <c r="I7" s="10">
        <f>BDI!D22</f>
        <v>0.24429999999999999</v>
      </c>
    </row>
    <row r="8" spans="1:17" ht="46.8" customHeight="1">
      <c r="A8" s="125" t="s">
        <v>0</v>
      </c>
      <c r="B8" s="6" t="s">
        <v>82</v>
      </c>
      <c r="C8" s="6" t="s">
        <v>5</v>
      </c>
      <c r="D8" s="6" t="s">
        <v>1</v>
      </c>
      <c r="E8" s="6" t="s">
        <v>3</v>
      </c>
      <c r="F8" s="6" t="s">
        <v>2</v>
      </c>
      <c r="G8" s="205" t="s">
        <v>90</v>
      </c>
      <c r="H8" s="205"/>
      <c r="I8" s="206"/>
    </row>
    <row r="9" spans="1:17" s="59" customFormat="1" ht="18" customHeight="1">
      <c r="A9" s="54">
        <v>1</v>
      </c>
      <c r="B9" s="114"/>
      <c r="C9" s="55"/>
      <c r="D9" s="56" t="s">
        <v>20</v>
      </c>
      <c r="E9" s="62"/>
      <c r="F9" s="58"/>
      <c r="G9" s="207"/>
      <c r="H9" s="207"/>
      <c r="I9" s="208"/>
    </row>
    <row r="10" spans="1:17" ht="30">
      <c r="A10" s="11" t="s">
        <v>12</v>
      </c>
      <c r="B10" s="8" t="s">
        <v>88</v>
      </c>
      <c r="C10" s="8">
        <v>103689</v>
      </c>
      <c r="D10" s="9" t="s">
        <v>73</v>
      </c>
      <c r="E10" s="4" t="s">
        <v>11</v>
      </c>
      <c r="F10" s="42">
        <f>ROUND((1.5*3),2)</f>
        <v>4.5</v>
      </c>
      <c r="G10" s="189" t="s">
        <v>93</v>
      </c>
      <c r="H10" s="189"/>
      <c r="I10" s="190"/>
      <c r="K10" s="46"/>
    </row>
    <row r="11" spans="1:17" s="59" customFormat="1" ht="15.6">
      <c r="A11" s="54">
        <v>2</v>
      </c>
      <c r="B11" s="114"/>
      <c r="C11" s="55"/>
      <c r="D11" s="56" t="s">
        <v>72</v>
      </c>
      <c r="E11" s="57"/>
      <c r="F11" s="58"/>
      <c r="G11" s="196"/>
      <c r="H11" s="196"/>
      <c r="I11" s="197"/>
      <c r="K11" s="58"/>
      <c r="L11" s="58"/>
      <c r="M11" s="116"/>
      <c r="N11" s="116"/>
      <c r="O11" s="115"/>
    </row>
    <row r="12" spans="1:17" ht="54.6" customHeight="1">
      <c r="A12" s="11" t="s">
        <v>13</v>
      </c>
      <c r="B12" s="99" t="s">
        <v>87</v>
      </c>
      <c r="C12" s="99" t="s">
        <v>83</v>
      </c>
      <c r="D12" s="100" t="s">
        <v>84</v>
      </c>
      <c r="E12" s="101" t="s">
        <v>11</v>
      </c>
      <c r="F12" s="5">
        <f>ROUND((3057.25),2)</f>
        <v>3057.25</v>
      </c>
      <c r="G12" s="191" t="s">
        <v>107</v>
      </c>
      <c r="H12" s="192"/>
      <c r="I12" s="193"/>
      <c r="K12" s="42"/>
      <c r="L12" s="42"/>
      <c r="M12" s="42"/>
      <c r="N12" s="42"/>
      <c r="O12" s="116"/>
      <c r="P12" s="116"/>
      <c r="Q12" s="115"/>
    </row>
    <row r="13" spans="1:17" ht="20.399999999999999" customHeight="1">
      <c r="A13" s="11" t="s">
        <v>49</v>
      </c>
      <c r="B13" s="99" t="s">
        <v>85</v>
      </c>
      <c r="C13" s="99"/>
      <c r="D13" s="100" t="s">
        <v>86</v>
      </c>
      <c r="E13" s="101" t="s">
        <v>46</v>
      </c>
      <c r="F13" s="42">
        <f>ROUND((0.0005*F12),2)</f>
        <v>1.53</v>
      </c>
      <c r="G13" s="215" t="s">
        <v>108</v>
      </c>
      <c r="H13" s="216"/>
      <c r="I13" s="217"/>
      <c r="K13" s="42"/>
      <c r="L13" s="42"/>
      <c r="M13" s="42"/>
      <c r="N13" s="42"/>
      <c r="O13" s="116"/>
      <c r="P13" s="116"/>
      <c r="Q13" s="115"/>
    </row>
    <row r="14" spans="1:17" ht="60">
      <c r="A14" s="11" t="s">
        <v>52</v>
      </c>
      <c r="B14" s="162" t="s">
        <v>88</v>
      </c>
      <c r="C14" s="8">
        <v>102331</v>
      </c>
      <c r="D14" s="9" t="s">
        <v>89</v>
      </c>
      <c r="E14" s="4" t="s">
        <v>19</v>
      </c>
      <c r="F14" s="42">
        <f>ROUND((736*F13),2)</f>
        <v>1126.08</v>
      </c>
      <c r="G14" s="215" t="s">
        <v>109</v>
      </c>
      <c r="H14" s="216"/>
      <c r="I14" s="217"/>
      <c r="K14" s="42"/>
      <c r="L14" s="42"/>
      <c r="M14" s="42"/>
      <c r="N14" s="42"/>
      <c r="O14" s="116"/>
      <c r="P14" s="116"/>
      <c r="Q14" s="115"/>
    </row>
    <row r="15" spans="1:17" ht="100.2" customHeight="1">
      <c r="A15" s="11" t="s">
        <v>55</v>
      </c>
      <c r="B15" s="162" t="s">
        <v>87</v>
      </c>
      <c r="C15" s="8" t="s">
        <v>95</v>
      </c>
      <c r="D15" s="9" t="s">
        <v>96</v>
      </c>
      <c r="E15" s="4" t="s">
        <v>18</v>
      </c>
      <c r="F15" s="5">
        <f>ROUND((0.04*F12),2)+ROUND((((3.5*7.16*0.1)+(((1*0.1)/2)*7.16*2))+((3.5*7.11*0.1)+(((1*0.1)/2)*7.11*2))+((3.5*7.03*0.1)+(((1*0.1)/2)*7.03*2))),2)</f>
        <v>131.88</v>
      </c>
      <c r="G15" s="218" t="s">
        <v>116</v>
      </c>
      <c r="H15" s="218"/>
      <c r="I15" s="219"/>
      <c r="K15" s="42"/>
      <c r="L15" s="42"/>
      <c r="M15" s="116"/>
      <c r="N15" s="116"/>
      <c r="O15" s="123"/>
    </row>
    <row r="16" spans="1:17" ht="45" customHeight="1">
      <c r="A16" s="11" t="s">
        <v>102</v>
      </c>
      <c r="B16" s="162" t="s">
        <v>88</v>
      </c>
      <c r="C16" s="8">
        <v>95427</v>
      </c>
      <c r="D16" s="9" t="s">
        <v>97</v>
      </c>
      <c r="E16" s="4" t="s">
        <v>98</v>
      </c>
      <c r="F16" s="42">
        <f>ROUND((132*F15),2)</f>
        <v>17408.16</v>
      </c>
      <c r="G16" s="215" t="s">
        <v>115</v>
      </c>
      <c r="H16" s="216"/>
      <c r="I16" s="217"/>
      <c r="K16" s="42"/>
      <c r="L16" s="42"/>
      <c r="M16" s="116"/>
      <c r="N16" s="116"/>
      <c r="O16" s="123"/>
    </row>
    <row r="17" spans="1:17" s="59" customFormat="1" ht="18" customHeight="1">
      <c r="A17" s="54">
        <v>3</v>
      </c>
      <c r="B17" s="114"/>
      <c r="C17" s="55"/>
      <c r="D17" s="56" t="s">
        <v>71</v>
      </c>
      <c r="E17" s="57"/>
      <c r="F17" s="58"/>
      <c r="G17" s="196"/>
      <c r="H17" s="196"/>
      <c r="I17" s="197"/>
      <c r="K17" s="58"/>
      <c r="L17" s="58"/>
      <c r="M17" s="116"/>
      <c r="N17" s="116"/>
      <c r="O17" s="123"/>
    </row>
    <row r="18" spans="1:17" ht="86.4" customHeight="1">
      <c r="A18" s="11" t="s">
        <v>14</v>
      </c>
      <c r="B18" s="8" t="s">
        <v>88</v>
      </c>
      <c r="C18" s="51">
        <v>94289</v>
      </c>
      <c r="D18" s="53" t="s">
        <v>75</v>
      </c>
      <c r="E18" s="52" t="s">
        <v>15</v>
      </c>
      <c r="F18" s="5">
        <f>ROUND((4.14+2+3.96+33.39+40.55+38.78+38.93+21.25+0.74+2.17+39.1+32+1.65+1.67+15.38+1.38+1.36+20.87+39.52+40.31+30.53+30.57+40.32+39.26+38.25+46.52+39.83+2.22+1.79+21.57+39.08+38.96+40.44+33.16+3.82+1.96+3.8+2.23),2)</f>
        <v>833.46</v>
      </c>
      <c r="G18" s="194" t="s">
        <v>110</v>
      </c>
      <c r="H18" s="194"/>
      <c r="I18" s="195"/>
      <c r="K18" s="5"/>
      <c r="L18" s="5"/>
      <c r="M18" s="116"/>
      <c r="N18" s="116"/>
      <c r="O18" s="123"/>
    </row>
    <row r="19" spans="1:17" s="59" customFormat="1" ht="18" customHeight="1">
      <c r="A19" s="54">
        <v>4</v>
      </c>
      <c r="B19" s="114"/>
      <c r="C19" s="55"/>
      <c r="D19" s="56" t="s">
        <v>100</v>
      </c>
      <c r="E19" s="57"/>
      <c r="F19" s="58"/>
      <c r="G19" s="196"/>
      <c r="H19" s="196"/>
      <c r="I19" s="197"/>
      <c r="K19" s="58"/>
      <c r="L19" s="58"/>
      <c r="M19" s="116"/>
      <c r="N19" s="116"/>
      <c r="O19" s="123"/>
    </row>
    <row r="20" spans="1:17" ht="74.400000000000006" customHeight="1">
      <c r="A20" s="11" t="s">
        <v>99</v>
      </c>
      <c r="B20" s="162" t="s">
        <v>88</v>
      </c>
      <c r="C20" s="51">
        <v>102509</v>
      </c>
      <c r="D20" s="163" t="s">
        <v>101</v>
      </c>
      <c r="E20" s="52" t="s">
        <v>11</v>
      </c>
      <c r="F20" s="5">
        <f>ROUND((3.5*0.4*7*6)+(3.5*0.4*2*6),2)</f>
        <v>75.599999999999994</v>
      </c>
      <c r="G20" s="191" t="s">
        <v>111</v>
      </c>
      <c r="H20" s="192"/>
      <c r="I20" s="193"/>
      <c r="K20" s="5"/>
      <c r="L20" s="5"/>
      <c r="M20" s="5"/>
      <c r="N20" s="5"/>
      <c r="O20" s="116"/>
      <c r="P20" s="116"/>
      <c r="Q20" s="115"/>
    </row>
    <row r="21" spans="1:17" ht="72.599999999999994" customHeight="1">
      <c r="A21" s="11" t="s">
        <v>106</v>
      </c>
      <c r="B21" s="99" t="s">
        <v>88</v>
      </c>
      <c r="C21" s="99">
        <v>102512</v>
      </c>
      <c r="D21" s="168" t="s">
        <v>105</v>
      </c>
      <c r="E21" s="101" t="s">
        <v>15</v>
      </c>
      <c r="F21" s="5">
        <f>ROUND((11.16+152.49+6.38+8.17+46.32+7.64+21.01+5.42+108.34+4.99+12.5+152.48+8.02+8.83+46.32+39.56+108.34+5)+((4.99+108.34+39.56+46.32+20.39+152.48+11.61)*2),2)</f>
        <v>1520.35</v>
      </c>
      <c r="G21" s="191" t="s">
        <v>112</v>
      </c>
      <c r="H21" s="192"/>
      <c r="I21" s="193"/>
      <c r="K21" s="5"/>
      <c r="L21" s="5"/>
      <c r="M21" s="116"/>
      <c r="N21" s="116"/>
      <c r="O21" s="123"/>
    </row>
    <row r="22" spans="1:17" ht="39.6" customHeight="1">
      <c r="A22" s="17"/>
      <c r="B22" s="18"/>
      <c r="C22" s="18"/>
      <c r="D22" s="18"/>
      <c r="E22" s="18"/>
      <c r="F22" s="18"/>
      <c r="G22" s="18"/>
      <c r="H22" s="18"/>
      <c r="I22" s="19"/>
      <c r="L22" s="1">
        <f t="shared" ref="L22:L43" si="0">H22*F22</f>
        <v>0</v>
      </c>
      <c r="O22" s="122"/>
    </row>
    <row r="23" spans="1:17" ht="14.1" customHeight="1">
      <c r="A23" s="212" t="s">
        <v>25</v>
      </c>
      <c r="B23" s="213"/>
      <c r="C23" s="213"/>
      <c r="D23" s="213"/>
      <c r="E23" s="213"/>
      <c r="F23" s="213"/>
      <c r="G23" s="213"/>
      <c r="H23" s="213"/>
      <c r="I23" s="214"/>
      <c r="K23" s="16"/>
      <c r="L23" s="1">
        <f t="shared" si="0"/>
        <v>0</v>
      </c>
      <c r="O23" s="123">
        <f>SUM(O11:O18)</f>
        <v>0</v>
      </c>
    </row>
    <row r="24" spans="1:17" ht="15.6">
      <c r="A24" s="202" t="s">
        <v>69</v>
      </c>
      <c r="B24" s="203"/>
      <c r="C24" s="203"/>
      <c r="D24" s="203"/>
      <c r="E24" s="203"/>
      <c r="F24" s="203"/>
      <c r="G24" s="203"/>
      <c r="H24" s="203"/>
      <c r="I24" s="204"/>
      <c r="J24" s="13"/>
      <c r="K24" s="14"/>
      <c r="L24" s="1">
        <f t="shared" si="0"/>
        <v>0</v>
      </c>
    </row>
    <row r="25" spans="1:17" s="50" customFormat="1" ht="18" customHeight="1">
      <c r="A25" s="202" t="s">
        <v>76</v>
      </c>
      <c r="B25" s="203"/>
      <c r="C25" s="203"/>
      <c r="D25" s="203"/>
      <c r="E25" s="203"/>
      <c r="F25" s="203"/>
      <c r="G25" s="203"/>
      <c r="H25" s="203"/>
      <c r="I25" s="204"/>
      <c r="J25" s="97"/>
      <c r="K25" s="98"/>
      <c r="L25" s="50">
        <f t="shared" si="0"/>
        <v>0</v>
      </c>
    </row>
    <row r="26" spans="1:17" ht="11.25" customHeight="1">
      <c r="A26" s="104"/>
      <c r="B26" s="105"/>
      <c r="C26" s="105"/>
      <c r="D26" s="105"/>
      <c r="E26" s="105"/>
      <c r="F26" s="105"/>
      <c r="G26" s="105"/>
      <c r="H26" s="105"/>
      <c r="I26" s="106"/>
      <c r="K26" s="16"/>
      <c r="L26" s="1">
        <f t="shared" si="0"/>
        <v>0</v>
      </c>
    </row>
    <row r="27" spans="1:17" ht="12" customHeight="1">
      <c r="A27" s="102"/>
      <c r="B27" s="103"/>
      <c r="C27" s="105"/>
      <c r="D27" s="105"/>
      <c r="E27" s="105"/>
      <c r="F27" s="105"/>
      <c r="G27" s="105"/>
      <c r="H27" s="105"/>
      <c r="I27" s="106"/>
      <c r="K27" s="16"/>
      <c r="L27" s="1">
        <f t="shared" si="0"/>
        <v>0</v>
      </c>
    </row>
    <row r="28" spans="1:17" ht="14.1" customHeight="1">
      <c r="A28" s="212" t="s">
        <v>25</v>
      </c>
      <c r="B28" s="213"/>
      <c r="C28" s="213"/>
      <c r="D28" s="213"/>
      <c r="E28" s="213"/>
      <c r="F28" s="213"/>
      <c r="G28" s="213"/>
      <c r="H28" s="213"/>
      <c r="I28" s="214"/>
      <c r="K28" s="16"/>
      <c r="L28" s="1">
        <f t="shared" si="0"/>
        <v>0</v>
      </c>
    </row>
    <row r="29" spans="1:17" ht="14.25" customHeight="1">
      <c r="A29" s="202" t="s">
        <v>26</v>
      </c>
      <c r="B29" s="203"/>
      <c r="C29" s="203"/>
      <c r="D29" s="203"/>
      <c r="E29" s="203"/>
      <c r="F29" s="203"/>
      <c r="G29" s="203"/>
      <c r="H29" s="203"/>
      <c r="I29" s="204"/>
      <c r="J29" s="13"/>
      <c r="K29" s="14"/>
      <c r="L29" s="1">
        <f t="shared" si="0"/>
        <v>0</v>
      </c>
    </row>
    <row r="30" spans="1:17" s="50" customFormat="1" ht="18.75" customHeight="1">
      <c r="A30" s="202" t="s">
        <v>77</v>
      </c>
      <c r="B30" s="203"/>
      <c r="C30" s="203"/>
      <c r="D30" s="203"/>
      <c r="E30" s="203"/>
      <c r="F30" s="203"/>
      <c r="G30" s="203"/>
      <c r="H30" s="203"/>
      <c r="I30" s="204"/>
      <c r="J30" s="97"/>
      <c r="K30" s="98"/>
      <c r="L30" s="50">
        <f t="shared" si="0"/>
        <v>0</v>
      </c>
    </row>
    <row r="31" spans="1:17" ht="17.25" customHeight="1" thickBot="1">
      <c r="A31" s="107"/>
      <c r="B31" s="108"/>
      <c r="C31" s="201"/>
      <c r="D31" s="201"/>
      <c r="E31" s="108"/>
      <c r="F31" s="201"/>
      <c r="G31" s="201"/>
      <c r="H31" s="109"/>
      <c r="I31" s="110"/>
      <c r="L31" s="1">
        <f t="shared" si="0"/>
        <v>0</v>
      </c>
    </row>
    <row r="32" spans="1:17" ht="15.6">
      <c r="A32" s="198"/>
      <c r="B32" s="199"/>
      <c r="C32" s="199"/>
      <c r="D32" s="199"/>
      <c r="E32" s="199"/>
      <c r="F32" s="199"/>
      <c r="G32" s="199"/>
      <c r="H32" s="199"/>
      <c r="I32" s="200"/>
      <c r="L32" s="1">
        <f t="shared" si="0"/>
        <v>0</v>
      </c>
    </row>
    <row r="33" spans="1:12" ht="15.6">
      <c r="A33" s="54"/>
      <c r="B33" s="114"/>
      <c r="C33" s="55"/>
      <c r="D33" s="56"/>
      <c r="E33" s="57"/>
      <c r="F33" s="58"/>
      <c r="G33" s="196"/>
      <c r="H33" s="196"/>
      <c r="I33" s="197"/>
      <c r="L33" s="1">
        <f t="shared" si="0"/>
        <v>0</v>
      </c>
    </row>
    <row r="34" spans="1:12" ht="15">
      <c r="A34" s="11"/>
      <c r="B34" s="99"/>
      <c r="C34" s="99"/>
      <c r="D34" s="100"/>
      <c r="E34" s="101"/>
      <c r="F34" s="42"/>
      <c r="G34" s="194"/>
      <c r="H34" s="194"/>
      <c r="I34" s="195"/>
    </row>
    <row r="35" spans="1:12" ht="15.6" customHeight="1">
      <c r="A35" s="11"/>
      <c r="B35" s="99"/>
      <c r="C35" s="99"/>
      <c r="D35" s="100"/>
      <c r="E35" s="101"/>
      <c r="F35" s="42"/>
      <c r="G35" s="189"/>
      <c r="H35" s="189"/>
      <c r="I35" s="190"/>
    </row>
    <row r="36" spans="1:12" ht="15">
      <c r="A36" s="11"/>
      <c r="B36" s="8"/>
      <c r="C36" s="99"/>
      <c r="D36" s="100"/>
      <c r="E36" s="4"/>
      <c r="F36" s="42"/>
      <c r="G36" s="189"/>
      <c r="H36" s="189"/>
      <c r="I36" s="190"/>
    </row>
    <row r="37" spans="1:12" ht="15">
      <c r="A37" s="11"/>
      <c r="B37" s="8"/>
      <c r="C37" s="8"/>
      <c r="D37" s="9"/>
      <c r="E37" s="4"/>
      <c r="F37" s="42"/>
      <c r="G37" s="189"/>
      <c r="H37" s="189"/>
      <c r="I37" s="190"/>
    </row>
    <row r="38" spans="1:12" ht="75" customHeight="1">
      <c r="A38" s="11"/>
      <c r="B38" s="8"/>
      <c r="C38" s="8"/>
      <c r="D38" s="9"/>
      <c r="E38" s="4"/>
      <c r="F38" s="5"/>
      <c r="G38" s="189"/>
      <c r="H38" s="189"/>
      <c r="I38" s="190"/>
    </row>
    <row r="39" spans="1:12" ht="15.6">
      <c r="A39" s="54"/>
      <c r="B39" s="114"/>
      <c r="C39" s="55"/>
      <c r="D39" s="56"/>
      <c r="E39" s="57"/>
      <c r="F39" s="58"/>
      <c r="G39" s="196"/>
      <c r="H39" s="196"/>
      <c r="I39" s="197"/>
    </row>
    <row r="40" spans="1:12" ht="15">
      <c r="A40" s="11"/>
      <c r="B40" s="8"/>
      <c r="C40" s="51"/>
      <c r="D40" s="53"/>
      <c r="E40" s="52"/>
      <c r="F40" s="5"/>
      <c r="G40" s="194"/>
      <c r="H40" s="194"/>
      <c r="I40" s="195"/>
    </row>
    <row r="41" spans="1:12" ht="16.2" thickBot="1">
      <c r="A41" s="43"/>
      <c r="B41" s="44"/>
      <c r="C41" s="44"/>
      <c r="D41" s="44"/>
      <c r="E41" s="44"/>
      <c r="F41" s="44"/>
      <c r="G41" s="44"/>
      <c r="H41" s="44"/>
      <c r="I41" s="45"/>
    </row>
    <row r="42" spans="1:12" ht="15.6">
      <c r="A42" s="198"/>
      <c r="B42" s="199"/>
      <c r="C42" s="199"/>
      <c r="D42" s="199"/>
      <c r="E42" s="199"/>
      <c r="F42" s="199"/>
      <c r="G42" s="199"/>
      <c r="H42" s="199"/>
      <c r="I42" s="200"/>
      <c r="L42" s="1">
        <f t="shared" si="0"/>
        <v>0</v>
      </c>
    </row>
    <row r="43" spans="1:12" ht="15.6">
      <c r="A43" s="54"/>
      <c r="B43" s="114"/>
      <c r="C43" s="55"/>
      <c r="D43" s="56"/>
      <c r="E43" s="57"/>
      <c r="F43" s="58"/>
      <c r="G43" s="196"/>
      <c r="H43" s="196"/>
      <c r="I43" s="197"/>
      <c r="L43" s="1">
        <f t="shared" si="0"/>
        <v>0</v>
      </c>
    </row>
    <row r="44" spans="1:12" ht="15">
      <c r="A44" s="11"/>
      <c r="B44" s="99"/>
      <c r="C44" s="99"/>
      <c r="D44" s="100"/>
      <c r="E44" s="101"/>
      <c r="F44" s="42"/>
      <c r="G44" s="194"/>
      <c r="H44" s="194"/>
      <c r="I44" s="195"/>
    </row>
    <row r="45" spans="1:12" ht="15.6" customHeight="1">
      <c r="A45" s="11"/>
      <c r="B45" s="99"/>
      <c r="C45" s="99"/>
      <c r="D45" s="100"/>
      <c r="E45" s="101"/>
      <c r="F45" s="42"/>
      <c r="G45" s="189"/>
      <c r="H45" s="189"/>
      <c r="I45" s="190"/>
    </row>
    <row r="46" spans="1:12" ht="15">
      <c r="A46" s="11"/>
      <c r="B46" s="8"/>
      <c r="C46" s="99"/>
      <c r="D46" s="100"/>
      <c r="E46" s="4"/>
      <c r="F46" s="42"/>
      <c r="G46" s="189"/>
      <c r="H46" s="189"/>
      <c r="I46" s="190"/>
    </row>
    <row r="47" spans="1:12" ht="15">
      <c r="A47" s="11"/>
      <c r="B47" s="8"/>
      <c r="C47" s="8"/>
      <c r="D47" s="9"/>
      <c r="E47" s="4"/>
      <c r="F47" s="42"/>
      <c r="G47" s="189"/>
      <c r="H47" s="189"/>
      <c r="I47" s="190"/>
    </row>
    <row r="48" spans="1:12" ht="15">
      <c r="A48" s="11"/>
      <c r="B48" s="8"/>
      <c r="C48" s="8"/>
      <c r="D48" s="9"/>
      <c r="E48" s="4"/>
      <c r="F48" s="5"/>
      <c r="G48" s="189"/>
      <c r="H48" s="189"/>
      <c r="I48" s="190"/>
    </row>
    <row r="49" spans="1:11" ht="15.6">
      <c r="A49" s="54"/>
      <c r="B49" s="114"/>
      <c r="C49" s="55"/>
      <c r="D49" s="56"/>
      <c r="E49" s="57"/>
      <c r="F49" s="58"/>
      <c r="G49" s="196"/>
      <c r="H49" s="196"/>
      <c r="I49" s="197"/>
    </row>
    <row r="50" spans="1:11" ht="15">
      <c r="A50" s="11"/>
      <c r="B50" s="8"/>
      <c r="C50" s="51"/>
      <c r="D50" s="53"/>
      <c r="E50" s="52"/>
      <c r="F50" s="5"/>
      <c r="G50" s="194"/>
      <c r="H50" s="194"/>
      <c r="I50" s="195"/>
    </row>
    <row r="51" spans="1:11">
      <c r="A51" s="15"/>
      <c r="I51" s="16"/>
    </row>
    <row r="52" spans="1:11" ht="15.6">
      <c r="A52" s="17"/>
      <c r="B52" s="18"/>
      <c r="C52" s="18"/>
      <c r="D52" s="18"/>
      <c r="E52" s="18"/>
      <c r="F52" s="18"/>
      <c r="G52" s="18"/>
      <c r="H52" s="18"/>
      <c r="I52" s="19"/>
    </row>
    <row r="53" spans="1:11" ht="11.25" customHeight="1">
      <c r="A53" s="209"/>
      <c r="B53" s="210"/>
      <c r="C53" s="210"/>
      <c r="D53" s="210"/>
      <c r="E53" s="210"/>
      <c r="F53" s="210"/>
      <c r="G53" s="210"/>
      <c r="H53" s="210"/>
      <c r="I53" s="211"/>
      <c r="J53" s="2"/>
      <c r="K53" s="12"/>
    </row>
    <row r="54" spans="1:11" ht="15.6">
      <c r="A54" s="202"/>
      <c r="B54" s="203"/>
      <c r="C54" s="203"/>
      <c r="D54" s="203"/>
      <c r="E54" s="203"/>
      <c r="F54" s="203"/>
      <c r="G54" s="203"/>
      <c r="H54" s="203"/>
      <c r="I54" s="204"/>
      <c r="J54" s="13"/>
      <c r="K54" s="14"/>
    </row>
    <row r="55" spans="1:11" ht="18" customHeight="1">
      <c r="A55" s="202"/>
      <c r="B55" s="203"/>
      <c r="C55" s="203"/>
      <c r="D55" s="203"/>
      <c r="E55" s="203"/>
      <c r="F55" s="203"/>
      <c r="G55" s="203"/>
      <c r="H55" s="203"/>
      <c r="I55" s="204"/>
      <c r="J55" s="2"/>
      <c r="K55" s="12"/>
    </row>
    <row r="56" spans="1:11" ht="11.25" customHeight="1">
      <c r="A56" s="104"/>
      <c r="B56" s="105"/>
      <c r="C56" s="105"/>
      <c r="D56" s="105"/>
      <c r="E56" s="105"/>
      <c r="F56" s="105"/>
      <c r="G56" s="105"/>
      <c r="H56" s="105"/>
      <c r="I56" s="106"/>
      <c r="K56" s="16"/>
    </row>
    <row r="57" spans="1:11" ht="12" customHeight="1">
      <c r="A57" s="102"/>
      <c r="B57" s="103"/>
      <c r="C57" s="105"/>
      <c r="D57" s="105"/>
      <c r="E57" s="105"/>
      <c r="F57" s="105"/>
      <c r="G57" s="105"/>
      <c r="H57" s="105"/>
      <c r="I57" s="106"/>
      <c r="K57" s="16"/>
    </row>
    <row r="58" spans="1:11" ht="14.1" customHeight="1">
      <c r="A58" s="212"/>
      <c r="B58" s="213"/>
      <c r="C58" s="213"/>
      <c r="D58" s="213"/>
      <c r="E58" s="213"/>
      <c r="F58" s="213"/>
      <c r="G58" s="213"/>
      <c r="H58" s="213"/>
      <c r="I58" s="214"/>
      <c r="K58" s="16"/>
    </row>
    <row r="59" spans="1:11" ht="14.25" customHeight="1">
      <c r="A59" s="202"/>
      <c r="B59" s="203"/>
      <c r="C59" s="203"/>
      <c r="D59" s="203"/>
      <c r="E59" s="203"/>
      <c r="F59" s="203"/>
      <c r="G59" s="203"/>
      <c r="H59" s="203"/>
      <c r="I59" s="204"/>
      <c r="J59" s="13"/>
      <c r="K59" s="14"/>
    </row>
    <row r="60" spans="1:11" ht="18.75" customHeight="1">
      <c r="A60" s="202"/>
      <c r="B60" s="203"/>
      <c r="C60" s="203"/>
      <c r="D60" s="203"/>
      <c r="E60" s="203"/>
      <c r="F60" s="203"/>
      <c r="G60" s="203"/>
      <c r="H60" s="203"/>
      <c r="I60" s="204"/>
      <c r="J60" s="2"/>
      <c r="K60" s="12"/>
    </row>
    <row r="61" spans="1:11" ht="13.8" thickBot="1">
      <c r="A61" s="24"/>
      <c r="B61" s="25"/>
      <c r="C61" s="25"/>
      <c r="D61" s="25"/>
      <c r="E61" s="25"/>
      <c r="F61" s="25"/>
      <c r="G61" s="25"/>
      <c r="H61" s="25"/>
      <c r="I61" s="26"/>
    </row>
  </sheetData>
  <mergeCells count="58">
    <mergeCell ref="G13:I13"/>
    <mergeCell ref="G14:I14"/>
    <mergeCell ref="G36:I36"/>
    <mergeCell ref="G15:I15"/>
    <mergeCell ref="G16:I16"/>
    <mergeCell ref="A32:I32"/>
    <mergeCell ref="A23:I23"/>
    <mergeCell ref="A24:I24"/>
    <mergeCell ref="A25:I25"/>
    <mergeCell ref="A28:I28"/>
    <mergeCell ref="A29:I29"/>
    <mergeCell ref="G33:I33"/>
    <mergeCell ref="G34:I34"/>
    <mergeCell ref="G19:I19"/>
    <mergeCell ref="A60:I60"/>
    <mergeCell ref="G8:I8"/>
    <mergeCell ref="G9:I9"/>
    <mergeCell ref="G10:I10"/>
    <mergeCell ref="G11:I11"/>
    <mergeCell ref="A53:I53"/>
    <mergeCell ref="A54:I54"/>
    <mergeCell ref="A55:I55"/>
    <mergeCell ref="A58:I58"/>
    <mergeCell ref="A59:I59"/>
    <mergeCell ref="G17:I17"/>
    <mergeCell ref="G18:I18"/>
    <mergeCell ref="A30:I30"/>
    <mergeCell ref="C31:D31"/>
    <mergeCell ref="G35:I35"/>
    <mergeCell ref="G12:I12"/>
    <mergeCell ref="G46:I46"/>
    <mergeCell ref="G47:I47"/>
    <mergeCell ref="G48:I48"/>
    <mergeCell ref="G20:I20"/>
    <mergeCell ref="G50:I50"/>
    <mergeCell ref="G49:I49"/>
    <mergeCell ref="G44:I44"/>
    <mergeCell ref="G37:I37"/>
    <mergeCell ref="G38:I38"/>
    <mergeCell ref="G39:I39"/>
    <mergeCell ref="G40:I40"/>
    <mergeCell ref="G43:I43"/>
    <mergeCell ref="A42:I42"/>
    <mergeCell ref="F31:G31"/>
    <mergeCell ref="G45:I45"/>
    <mergeCell ref="G21:I21"/>
    <mergeCell ref="A5:E5"/>
    <mergeCell ref="F5:I5"/>
    <mergeCell ref="A6:E6"/>
    <mergeCell ref="F6:F7"/>
    <mergeCell ref="G6:G7"/>
    <mergeCell ref="A7:E7"/>
    <mergeCell ref="A1:I1"/>
    <mergeCell ref="A2:I2"/>
    <mergeCell ref="A3:F3"/>
    <mergeCell ref="G3:I3"/>
    <mergeCell ref="A4:F4"/>
    <mergeCell ref="H4:I4"/>
  </mergeCells>
  <phoneticPr fontId="20" type="noConversion"/>
  <pageMargins left="0.7" right="0.7" top="0.75" bottom="0.75" header="0.3" footer="0.3"/>
  <pageSetup paperSize="9" scale="61" fitToHeight="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showGridLines="0" showZeros="0" tabSelected="1" view="pageBreakPreview" topLeftCell="A21" zoomScale="70" zoomScaleNormal="100" zoomScaleSheetLayoutView="70" workbookViewId="0">
      <selection activeCell="K33" sqref="K33"/>
    </sheetView>
  </sheetViews>
  <sheetFormatPr defaultColWidth="9.109375" defaultRowHeight="13.2"/>
  <cols>
    <col min="1" max="1" width="10.44140625" style="1" customWidth="1"/>
    <col min="2" max="2" width="15.109375" style="1" customWidth="1"/>
    <col min="3" max="3" width="11.5546875" style="1" bestFit="1" customWidth="1"/>
    <col min="4" max="4" width="73.109375" style="1" customWidth="1"/>
    <col min="5" max="5" width="12.33203125" style="1" customWidth="1"/>
    <col min="6" max="6" width="15.88671875" style="1" customWidth="1"/>
    <col min="7" max="8" width="14.88671875" style="1" bestFit="1" customWidth="1"/>
    <col min="9" max="9" width="19.44140625" style="1" bestFit="1" customWidth="1"/>
    <col min="10" max="10" width="10.5546875" style="1" customWidth="1"/>
    <col min="11" max="11" width="17.88671875" style="1" bestFit="1" customWidth="1"/>
    <col min="12" max="13" width="17.77734375" style="1" bestFit="1" customWidth="1"/>
    <col min="14" max="14" width="13.109375" style="1" bestFit="1" customWidth="1"/>
    <col min="15" max="16384" width="9.109375" style="1"/>
  </cols>
  <sheetData>
    <row r="1" spans="1:15" ht="93" customHeight="1" thickBot="1">
      <c r="A1" s="223" t="s">
        <v>74</v>
      </c>
      <c r="B1" s="224"/>
      <c r="C1" s="224"/>
      <c r="D1" s="224"/>
      <c r="E1" s="224"/>
      <c r="F1" s="224"/>
      <c r="G1" s="224"/>
      <c r="H1" s="224"/>
      <c r="I1" s="225"/>
      <c r="J1" s="21"/>
      <c r="K1" s="20"/>
    </row>
    <row r="2" spans="1:15" ht="21.75" customHeight="1" thickBot="1">
      <c r="A2" s="230" t="s">
        <v>4</v>
      </c>
      <c r="B2" s="231"/>
      <c r="C2" s="231"/>
      <c r="D2" s="231"/>
      <c r="E2" s="231"/>
      <c r="F2" s="231"/>
      <c r="G2" s="231"/>
      <c r="H2" s="231"/>
      <c r="I2" s="232"/>
    </row>
    <row r="3" spans="1:15" ht="20.100000000000001" customHeight="1">
      <c r="A3" s="175" t="str">
        <f>'MEMÓRIAL DE CÁLCULO'!A3:F3</f>
        <v>PREFEITURA: PREFEITURA MUNICIPAL DE DIVISA ALEGRE - MG</v>
      </c>
      <c r="B3" s="227"/>
      <c r="C3" s="176"/>
      <c r="D3" s="176"/>
      <c r="E3" s="176"/>
      <c r="F3" s="176"/>
      <c r="G3" s="177" t="s">
        <v>17</v>
      </c>
      <c r="H3" s="177"/>
      <c r="I3" s="178"/>
    </row>
    <row r="4" spans="1:15" ht="33.6" customHeight="1">
      <c r="A4" s="179" t="str">
        <f>'MEMÓRIAL DE CÁLCULO'!A4:F4</f>
        <v>OBJETO: RECAPEAMENTO ASFÁLTICO EM CONCRETO BETUMINOSO USINADO A QUENTE (CBUQ) SOBRE REVESTIMENTO POLIÉDRICO NO MUNICÍPIO DE DIVISA ALEGRE - MG</v>
      </c>
      <c r="B4" s="228"/>
      <c r="C4" s="180"/>
      <c r="D4" s="180"/>
      <c r="E4" s="180"/>
      <c r="F4" s="180"/>
      <c r="G4" s="6" t="str">
        <f>'MEMÓRIAL DE CÁLCULO'!G4</f>
        <v>DATA:</v>
      </c>
      <c r="H4" s="233">
        <f ca="1">'MEMÓRIAL DE CÁLCULO'!H4:I4</f>
        <v>46065</v>
      </c>
      <c r="I4" s="234"/>
    </row>
    <row r="5" spans="1:15" ht="15.6">
      <c r="A5" s="183" t="str">
        <f>'MEMÓRIAL DE CÁLCULO'!A5:E5</f>
        <v>LOCAL: AVENIDA JOÃO MEIRA DOS SANTOS</v>
      </c>
      <c r="B5" s="226"/>
      <c r="C5" s="184"/>
      <c r="D5" s="184"/>
      <c r="E5" s="184"/>
      <c r="F5" s="185" t="str">
        <f>'MEMÓRIAL DE CÁLCULO'!F5:I5</f>
        <v xml:space="preserve">FORMA DE EXECUÇÃO: </v>
      </c>
      <c r="G5" s="185"/>
      <c r="H5" s="185"/>
      <c r="I5" s="186"/>
    </row>
    <row r="6" spans="1:15" ht="35.4" customHeight="1">
      <c r="A6" s="187" t="str">
        <f>'MEMÓRIAL DE CÁLCULO'!A6:E6</f>
        <v>REGIÃO/MÊS DE REFERÊNCIA: SEINFRA/REGIÃO JEQUITINHONHA 10/2025 NÃO DESONERADO // SINAPI-MG 12/2025 NÃO DESONERADO //  ANP 12/2025</v>
      </c>
      <c r="B6" s="229"/>
      <c r="C6" s="188"/>
      <c r="D6" s="188"/>
      <c r="E6" s="188"/>
      <c r="F6" s="185" t="str">
        <f>'MEMÓRIAL DE CÁLCULO'!F6:F7</f>
        <v>(    )</v>
      </c>
      <c r="G6" s="185" t="str">
        <f>'MEMÓRIAL DE CÁLCULO'!G6:G7</f>
        <v>DIRETA</v>
      </c>
      <c r="H6" s="6" t="str">
        <f>'MEMÓRIAL DE CÁLCULO'!H6</f>
        <v>(X)</v>
      </c>
      <c r="I6" s="49" t="str">
        <f>'MEMÓRIAL DE CÁLCULO'!I6</f>
        <v>INDIRETA</v>
      </c>
    </row>
    <row r="7" spans="1:15" ht="15.6">
      <c r="A7" s="183" t="str">
        <f>'MEMÓRIAL DE CÁLCULO'!A7:E7</f>
        <v>PRAZO DE EXECUÇÃO: 02 MESES</v>
      </c>
      <c r="B7" s="226"/>
      <c r="C7" s="184"/>
      <c r="D7" s="184"/>
      <c r="E7" s="184"/>
      <c r="F7" s="185"/>
      <c r="G7" s="185"/>
      <c r="H7" s="7" t="str">
        <f>'MEMÓRIAL DE CÁLCULO'!H7</f>
        <v>BDI</v>
      </c>
      <c r="I7" s="10">
        <f>'MEMÓRIAL DE CÁLCULO'!I7</f>
        <v>0.24429999999999999</v>
      </c>
    </row>
    <row r="8" spans="1:15" ht="46.8">
      <c r="A8" s="125" t="str">
        <f>'MEMÓRIAL DE CÁLCULO'!A8</f>
        <v>ITEM</v>
      </c>
      <c r="B8" s="6" t="str">
        <f>'MEMÓRIAL DE CÁLCULO'!B8</f>
        <v>FONTE</v>
      </c>
      <c r="C8" s="6" t="str">
        <f>'MEMÓRIAL DE CÁLCULO'!C8</f>
        <v>CÓDIGO</v>
      </c>
      <c r="D8" s="6" t="str">
        <f>'MEMÓRIAL DE CÁLCULO'!D8</f>
        <v>DESCRIÇÃO</v>
      </c>
      <c r="E8" s="6" t="str">
        <f>'MEMÓRIAL DE CÁLCULO'!E8</f>
        <v>UNIDADE</v>
      </c>
      <c r="F8" s="6" t="str">
        <f>'MEMÓRIAL DE CÁLCULO'!F8</f>
        <v>QUANTIDADE</v>
      </c>
      <c r="G8" s="3" t="s">
        <v>22</v>
      </c>
      <c r="H8" s="3" t="s">
        <v>23</v>
      </c>
      <c r="I8" s="126" t="s">
        <v>9</v>
      </c>
    </row>
    <row r="9" spans="1:15" s="59" customFormat="1" ht="18" customHeight="1">
      <c r="A9" s="54">
        <f>'MEMÓRIAL DE CÁLCULO'!A9</f>
        <v>1</v>
      </c>
      <c r="B9" s="114">
        <f>'MEMÓRIAL DE CÁLCULO'!B9</f>
        <v>0</v>
      </c>
      <c r="C9" s="114">
        <f>'MEMÓRIAL DE CÁLCULO'!C9</f>
        <v>0</v>
      </c>
      <c r="D9" s="56" t="str">
        <f>'MEMÓRIAL DE CÁLCULO'!D9</f>
        <v>INSTALAÇÕES INICIAIS DA OBRA</v>
      </c>
      <c r="E9" s="114">
        <f>'MEMÓRIAL DE CÁLCULO'!E9</f>
        <v>0</v>
      </c>
      <c r="F9" s="58"/>
      <c r="G9" s="58"/>
      <c r="H9" s="58"/>
      <c r="I9" s="41">
        <f>ROUND((SUM(I10)),2)</f>
        <v>2407.8200000000002</v>
      </c>
    </row>
    <row r="10" spans="1:15" ht="45">
      <c r="A10" s="11" t="str">
        <f>'MEMÓRIAL DE CÁLCULO'!A10</f>
        <v>1.1</v>
      </c>
      <c r="B10" s="8" t="str">
        <f>'MEMÓRIAL DE CÁLCULO'!B10</f>
        <v>SINAPI</v>
      </c>
      <c r="C10" s="8">
        <f>'MEMÓRIAL DE CÁLCULO'!C10</f>
        <v>103689</v>
      </c>
      <c r="D10" s="9" t="str">
        <f>'MEMÓRIAL DE CÁLCULO'!D10</f>
        <v>FORNECIMENTO E INSTALAÇÃO DE PLACA DE OBRA COM CHAPA GALVANIZADA E ESTRUTURA DE MADEIRA. AF_03/2022_PS</v>
      </c>
      <c r="E10" s="8" t="str">
        <f>'MEMÓRIAL DE CÁLCULO'!E10</f>
        <v>M2</v>
      </c>
      <c r="F10" s="165">
        <f>'MEMÓRIAL DE CÁLCULO'!F10</f>
        <v>4.5</v>
      </c>
      <c r="G10" s="111">
        <v>430.02</v>
      </c>
      <c r="H10" s="111">
        <f>ROUND((G10*(1+$I$7)),2)</f>
        <v>535.07000000000005</v>
      </c>
      <c r="I10" s="127">
        <f>ROUND((F10*H10),2)</f>
        <v>2407.8200000000002</v>
      </c>
      <c r="K10" s="112">
        <f>ROUND((H10*N10),2)</f>
        <v>2407.8200000000002</v>
      </c>
      <c r="M10" s="48"/>
      <c r="N10" s="120">
        <v>4.5</v>
      </c>
      <c r="O10" s="164">
        <f>F10-N10</f>
        <v>0</v>
      </c>
    </row>
    <row r="11" spans="1:15" s="59" customFormat="1" ht="15.6">
      <c r="A11" s="54">
        <f>'MEMÓRIAL DE CÁLCULO'!A11</f>
        <v>2</v>
      </c>
      <c r="B11" s="114">
        <f>'MEMÓRIAL DE CÁLCULO'!B11</f>
        <v>0</v>
      </c>
      <c r="C11" s="114">
        <f>'MEMÓRIAL DE CÁLCULO'!C11</f>
        <v>0</v>
      </c>
      <c r="D11" s="56" t="str">
        <f>'MEMÓRIAL DE CÁLCULO'!D11</f>
        <v>PAVIMENTAÇÃO</v>
      </c>
      <c r="E11" s="114">
        <f>'MEMÓRIAL DE CÁLCULO'!E11</f>
        <v>0</v>
      </c>
      <c r="F11" s="166"/>
      <c r="G11" s="58"/>
      <c r="H11" s="58"/>
      <c r="I11" s="41">
        <f>ROUND((SUM(I12:I16)),2)</f>
        <v>318913.62</v>
      </c>
      <c r="K11" s="112">
        <f t="shared" ref="K11:K21" si="0">ROUND((H11*N11),2)</f>
        <v>0</v>
      </c>
      <c r="L11" s="61"/>
      <c r="M11" s="60"/>
      <c r="N11" s="121"/>
      <c r="O11" s="164">
        <f t="shared" ref="O11:O20" si="1">F11-N11</f>
        <v>0</v>
      </c>
    </row>
    <row r="12" spans="1:15" ht="30">
      <c r="A12" s="11" t="str">
        <f>'MEMÓRIAL DE CÁLCULO'!A12</f>
        <v>2.1</v>
      </c>
      <c r="B12" s="8" t="str">
        <f>'MEMÓRIAL DE CÁLCULO'!B12</f>
        <v>SEINFRA-MG</v>
      </c>
      <c r="C12" s="8" t="str">
        <f>'MEMÓRIAL DE CÁLCULO'!C12</f>
        <v>RO-00389</v>
      </c>
      <c r="D12" s="9" t="str">
        <f>'MEMÓRIAL DE CÁLCULO'!D12</f>
        <v>Pintura de ligação (Execução, exclui fornecimento e transporte do material betuminoso até a obra)</v>
      </c>
      <c r="E12" s="8" t="str">
        <f>'MEMÓRIAL DE CÁLCULO'!E12</f>
        <v>M2</v>
      </c>
      <c r="F12" s="165">
        <f>'MEMÓRIAL DE CÁLCULO'!F12</f>
        <v>3057.25</v>
      </c>
      <c r="G12" s="111">
        <v>0.31</v>
      </c>
      <c r="H12" s="111">
        <f>ROUND((G12*(1+$I$7)),2)</f>
        <v>0.39</v>
      </c>
      <c r="I12" s="127">
        <f t="shared" ref="I12:I14" si="2">ROUND((F12*H12),2)</f>
        <v>1192.33</v>
      </c>
      <c r="K12" s="112">
        <f>ROUND((H12*N12),2)</f>
        <v>1192.33</v>
      </c>
      <c r="M12" s="48"/>
      <c r="N12" s="120">
        <v>3057.25</v>
      </c>
      <c r="O12" s="164">
        <f t="shared" si="1"/>
        <v>0</v>
      </c>
    </row>
    <row r="13" spans="1:15" ht="15">
      <c r="A13" s="11" t="str">
        <f>'MEMÓRIAL DE CÁLCULO'!A13</f>
        <v>2.2</v>
      </c>
      <c r="B13" s="8" t="str">
        <f>'MEMÓRIAL DE CÁLCULO'!B13</f>
        <v>ANP</v>
      </c>
      <c r="C13" s="8">
        <f>'MEMÓRIAL DE CÁLCULO'!C13</f>
        <v>0</v>
      </c>
      <c r="D13" s="9" t="str">
        <f>'MEMÓRIAL DE CÁLCULO'!D13</f>
        <v>Emulsão asfáltica - RR-1C</v>
      </c>
      <c r="E13" s="8" t="str">
        <f>'MEMÓRIAL DE CÁLCULO'!E13</f>
        <v>T</v>
      </c>
      <c r="F13" s="165">
        <f>'MEMÓRIAL DE CÁLCULO'!F13</f>
        <v>1.53</v>
      </c>
      <c r="G13" s="111">
        <f>ROUND((2.44273284058095*1000),2)</f>
        <v>2442.73</v>
      </c>
      <c r="H13" s="111">
        <f t="shared" ref="H13:H16" si="3">ROUND((G13*(1+$I$7)),2)</f>
        <v>3039.49</v>
      </c>
      <c r="I13" s="127">
        <f t="shared" si="2"/>
        <v>4650.42</v>
      </c>
      <c r="K13" s="112">
        <f t="shared" si="0"/>
        <v>4650.42</v>
      </c>
      <c r="M13" s="48"/>
      <c r="N13" s="120">
        <v>1.53</v>
      </c>
      <c r="O13" s="164">
        <f t="shared" si="1"/>
        <v>0</v>
      </c>
    </row>
    <row r="14" spans="1:15" ht="60">
      <c r="A14" s="11" t="str">
        <f>'MEMÓRIAL DE CÁLCULO'!A14</f>
        <v>2.3</v>
      </c>
      <c r="B14" s="8" t="str">
        <f>'MEMÓRIAL DE CÁLCULO'!B14</f>
        <v>SINAPI</v>
      </c>
      <c r="C14" s="8">
        <f>'MEMÓRIAL DE CÁLCULO'!C14</f>
        <v>102331</v>
      </c>
      <c r="D14" s="9" t="str">
        <f>'MEMÓRIAL DE CÁLCULO'!D14</f>
        <v>TRANSPORTE COM CAMINHÃO TANQUE DE TRANSPORTE DE MATERIAL ASFÁLTICO DE 30000 L, EM VIA URBANA PAVIMENTADA, ADICIONAL PARA DMT EXCEDENTE A 30 KM (UNIDADE: TXKM). AF_07/2020</v>
      </c>
      <c r="E14" s="8" t="str">
        <f>'MEMÓRIAL DE CÁLCULO'!E14</f>
        <v>TXKM</v>
      </c>
      <c r="F14" s="165">
        <f>'MEMÓRIAL DE CÁLCULO'!F14</f>
        <v>1126.08</v>
      </c>
      <c r="G14" s="111">
        <v>0.56000000000000005</v>
      </c>
      <c r="H14" s="111">
        <f t="shared" si="3"/>
        <v>0.7</v>
      </c>
      <c r="I14" s="127">
        <f t="shared" si="2"/>
        <v>788.26</v>
      </c>
      <c r="K14" s="112">
        <f>ROUND((H14*N14),2)</f>
        <v>788.26</v>
      </c>
      <c r="M14" s="48"/>
      <c r="N14" s="120">
        <v>1126.08</v>
      </c>
      <c r="O14" s="164">
        <f t="shared" si="1"/>
        <v>0</v>
      </c>
    </row>
    <row r="15" spans="1:15" ht="75">
      <c r="A15" s="11" t="str">
        <f>'MEMÓRIAL DE CÁLCULO'!A15</f>
        <v>2.4</v>
      </c>
      <c r="B15" s="8" t="str">
        <f>'MEMÓRIAL DE CÁLCULO'!B15</f>
        <v>SEINFRA-MG</v>
      </c>
      <c r="C15" s="8" t="str">
        <f>'MEMÓRIAL DE CÁLCULO'!C15</f>
        <v>ED-7623</v>
      </c>
      <c r="D15" s="9" t="str">
        <f>'MEMÓRIAL DE CÁLCULO'!D15</f>
        <v>EXECUÇÃO E APLICAÇÃO DE CONCRETO BETUMINOSO USINADO A QUENTE (CBUQ), MASSA COMERCIAL, INCLUINDO FORNECIMENTO E TRANSPORTE DOS AGREGADOS E MATERIAL BETUMINOSO, EXCLUSIVE TRANSPORTE DA MASSA ASFÁLTICA ATÉ A PISTA</v>
      </c>
      <c r="E15" s="8" t="str">
        <f>'MEMÓRIAL DE CÁLCULO'!E15</f>
        <v>M3</v>
      </c>
      <c r="F15" s="165">
        <f>'MEMÓRIAL DE CÁLCULO'!F15</f>
        <v>131.88</v>
      </c>
      <c r="G15" s="111">
        <v>1800.12</v>
      </c>
      <c r="H15" s="111">
        <f t="shared" si="3"/>
        <v>2239.89</v>
      </c>
      <c r="I15" s="127">
        <f t="shared" ref="I15:I16" si="4">ROUND((F15*H15),2)</f>
        <v>295396.69</v>
      </c>
      <c r="K15" s="112">
        <f>ROUND((H15*N15),2)</f>
        <v>295396.69</v>
      </c>
      <c r="M15" s="48"/>
      <c r="N15" s="120">
        <v>131.88</v>
      </c>
      <c r="O15" s="164">
        <f t="shared" si="1"/>
        <v>0</v>
      </c>
    </row>
    <row r="16" spans="1:15" ht="45">
      <c r="A16" s="11" t="str">
        <f>'MEMÓRIAL DE CÁLCULO'!A16</f>
        <v>2.5</v>
      </c>
      <c r="B16" s="8" t="str">
        <f>'MEMÓRIAL DE CÁLCULO'!B16</f>
        <v>SINAPI</v>
      </c>
      <c r="C16" s="8">
        <f>'MEMÓRIAL DE CÁLCULO'!C16</f>
        <v>95427</v>
      </c>
      <c r="D16" s="9" t="str">
        <f>'MEMÓRIAL DE CÁLCULO'!D16</f>
        <v>TRANSPORTE COM CAMINHÃO BASCULANTE DE 18 M³, EM VIA URBANA PAVIMENTADA, ADICIONAL PARA DMT EXCEDENTE A 30 KM (UNIDADE: M3XKM). AF_07/2020</v>
      </c>
      <c r="E16" s="8" t="str">
        <f>'MEMÓRIAL DE CÁLCULO'!E16</f>
        <v>M3XKM</v>
      </c>
      <c r="F16" s="165">
        <f>'MEMÓRIAL DE CÁLCULO'!F16</f>
        <v>17408.16</v>
      </c>
      <c r="G16" s="111">
        <v>0.78</v>
      </c>
      <c r="H16" s="111">
        <f t="shared" si="3"/>
        <v>0.97</v>
      </c>
      <c r="I16" s="127">
        <f t="shared" si="4"/>
        <v>16885.919999999998</v>
      </c>
      <c r="K16" s="112">
        <f>ROUND((H16*N16),2)</f>
        <v>16885.919999999998</v>
      </c>
      <c r="M16" s="48"/>
      <c r="N16" s="120">
        <v>17408.16</v>
      </c>
      <c r="O16" s="164">
        <f t="shared" si="1"/>
        <v>0</v>
      </c>
    </row>
    <row r="17" spans="1:15" s="59" customFormat="1" ht="18" customHeight="1">
      <c r="A17" s="54">
        <f>'MEMÓRIAL DE CÁLCULO'!A17</f>
        <v>3</v>
      </c>
      <c r="B17" s="114">
        <f>'MEMÓRIAL DE CÁLCULO'!B17</f>
        <v>0</v>
      </c>
      <c r="C17" s="114">
        <f>'MEMÓRIAL DE CÁLCULO'!C17</f>
        <v>0</v>
      </c>
      <c r="D17" s="56" t="str">
        <f>'MEMÓRIAL DE CÁLCULO'!D17</f>
        <v>OBRAS COMPLEMENTARES DE PAVIMENTAÇÃO</v>
      </c>
      <c r="E17" s="114">
        <f>'MEMÓRIAL DE CÁLCULO'!E17</f>
        <v>0</v>
      </c>
      <c r="F17" s="166"/>
      <c r="G17" s="58"/>
      <c r="H17" s="58"/>
      <c r="I17" s="41">
        <f>ROUND((SUM(I18:I18)),2)</f>
        <v>48474.03</v>
      </c>
      <c r="K17" s="112">
        <f t="shared" si="0"/>
        <v>0</v>
      </c>
      <c r="M17" s="60"/>
      <c r="N17" s="121"/>
      <c r="O17" s="164">
        <f t="shared" si="1"/>
        <v>0</v>
      </c>
    </row>
    <row r="18" spans="1:15" ht="45">
      <c r="A18" s="11" t="str">
        <f>'MEMÓRIAL DE CÁLCULO'!A18</f>
        <v>3.1</v>
      </c>
      <c r="B18" s="8" t="str">
        <f>'MEMÓRIAL DE CÁLCULO'!B18</f>
        <v>SINAPI</v>
      </c>
      <c r="C18" s="8">
        <f>'MEMÓRIAL DE CÁLCULO'!C18</f>
        <v>94289</v>
      </c>
      <c r="D18" s="9" t="str">
        <f>'MEMÓRIAL DE CÁLCULO'!D18</f>
        <v>EXECUÇÃO DE SARJETA DE CONCRETO USINADO, MOLDADA  IN LOCO  EM TRECHO RETO, 45 CM BASE X 10 CM ALTURA. AF_01/2024</v>
      </c>
      <c r="E18" s="8" t="str">
        <f>'MEMÓRIAL DE CÁLCULO'!E18</f>
        <v>M</v>
      </c>
      <c r="F18" s="165">
        <f>'MEMÓRIAL DE CÁLCULO'!F18</f>
        <v>833.46</v>
      </c>
      <c r="G18" s="111">
        <v>46.74</v>
      </c>
      <c r="H18" s="111">
        <f>ROUND((G18*(1+$I$7)),2)</f>
        <v>58.16</v>
      </c>
      <c r="I18" s="127">
        <f>ROUND((F18*H18),2)</f>
        <v>48474.03</v>
      </c>
      <c r="K18" s="112">
        <f t="shared" si="0"/>
        <v>48474.03</v>
      </c>
      <c r="L18" s="113"/>
      <c r="M18" s="48"/>
      <c r="N18" s="120">
        <v>833.46</v>
      </c>
      <c r="O18" s="164">
        <f t="shared" si="1"/>
        <v>0</v>
      </c>
    </row>
    <row r="19" spans="1:15" s="59" customFormat="1" ht="18" customHeight="1">
      <c r="A19" s="54">
        <f>'MEMÓRIAL DE CÁLCULO'!A19</f>
        <v>4</v>
      </c>
      <c r="B19" s="114">
        <f>'MEMÓRIAL DE CÁLCULO'!B19</f>
        <v>0</v>
      </c>
      <c r="C19" s="114">
        <f>'MEMÓRIAL DE CÁLCULO'!C19</f>
        <v>0</v>
      </c>
      <c r="D19" s="56" t="str">
        <f>'MEMÓRIAL DE CÁLCULO'!D19</f>
        <v>SINALIZAÇÃO VIÁRIA</v>
      </c>
      <c r="E19" s="114">
        <f>'MEMÓRIAL DE CÁLCULO'!E19</f>
        <v>0</v>
      </c>
      <c r="F19" s="166"/>
      <c r="G19" s="58"/>
      <c r="H19" s="58"/>
      <c r="I19" s="41">
        <f>ROUND((SUM(I20:I21)),2)</f>
        <v>17320.18</v>
      </c>
      <c r="K19" s="112">
        <f t="shared" si="0"/>
        <v>0</v>
      </c>
      <c r="M19" s="60"/>
      <c r="N19" s="121"/>
      <c r="O19" s="164">
        <f t="shared" si="1"/>
        <v>0</v>
      </c>
    </row>
    <row r="20" spans="1:15" ht="60">
      <c r="A20" s="11" t="str">
        <f>'MEMÓRIAL DE CÁLCULO'!A20</f>
        <v>4.1</v>
      </c>
      <c r="B20" s="8" t="str">
        <f>'MEMÓRIAL DE CÁLCULO'!B20</f>
        <v>SINAPI</v>
      </c>
      <c r="C20" s="8">
        <f>'MEMÓRIAL DE CÁLCULO'!C20</f>
        <v>102509</v>
      </c>
      <c r="D20" s="9" t="str">
        <f>'MEMÓRIAL DE CÁLCULO'!D20</f>
        <v>PINTURA DE FAIXA DE PEDESTRE OU ZEBRADA TINTA RETRORREFLETIVA A BASE DE RESINA ACRÍLICA COM MICROESFERAS DE VIDRO, E = 30 CM, APLICAÇÃO MANUAL. AF_05/2021</v>
      </c>
      <c r="E20" s="8" t="str">
        <f>'MEMÓRIAL DE CÁLCULO'!E20</f>
        <v>M2</v>
      </c>
      <c r="F20" s="165">
        <f>'MEMÓRIAL DE CÁLCULO'!F20</f>
        <v>75.599999999999994</v>
      </c>
      <c r="G20" s="111">
        <v>37.369999999999997</v>
      </c>
      <c r="H20" s="111">
        <f>ROUND((G20*(1+$I$7)),2)</f>
        <v>46.5</v>
      </c>
      <c r="I20" s="127">
        <f>ROUND((F20*H20),2)</f>
        <v>3515.4</v>
      </c>
      <c r="K20" s="112">
        <f t="shared" si="0"/>
        <v>3515.4</v>
      </c>
      <c r="L20" s="113"/>
      <c r="M20" s="48"/>
      <c r="N20" s="120">
        <v>75.599999999999994</v>
      </c>
      <c r="O20" s="164">
        <f t="shared" si="1"/>
        <v>0</v>
      </c>
    </row>
    <row r="21" spans="1:15" ht="60">
      <c r="A21" s="11" t="str">
        <f>'MEMÓRIAL DE CÁLCULO'!A21</f>
        <v>4.2</v>
      </c>
      <c r="B21" s="8" t="str">
        <f>'MEMÓRIAL DE CÁLCULO'!B21</f>
        <v>SINAPI</v>
      </c>
      <c r="C21" s="8">
        <f>'MEMÓRIAL DE CÁLCULO'!C21</f>
        <v>102512</v>
      </c>
      <c r="D21" s="9" t="str">
        <f>'MEMÓRIAL DE CÁLCULO'!D21</f>
        <v>PINTURA DE EIXO VIÁRIO SOBRE ASFALTO COM TINTA RETRORREFLETIVA A BASE DE RESINA ACRÍLICA COM MICROESFERAS DE VIDRO, APLICAÇÃO MECÂNICA COM DEMARCADORA AUTOPROPELIDA. AF_05/2021</v>
      </c>
      <c r="E21" s="8" t="str">
        <f>'MEMÓRIAL DE CÁLCULO'!E21</f>
        <v>M</v>
      </c>
      <c r="F21" s="165">
        <f>'MEMÓRIAL DE CÁLCULO'!F21</f>
        <v>1520.35</v>
      </c>
      <c r="G21" s="111">
        <v>7.3</v>
      </c>
      <c r="H21" s="111">
        <f>ROUND((G21*(1+$I$7)),2)</f>
        <v>9.08</v>
      </c>
      <c r="I21" s="127">
        <f>ROUND((F21*H21),2)</f>
        <v>13804.78</v>
      </c>
      <c r="K21" s="112">
        <f t="shared" si="0"/>
        <v>13804.78</v>
      </c>
      <c r="L21" s="113"/>
      <c r="M21" s="48"/>
      <c r="N21" s="120">
        <v>1520.35</v>
      </c>
      <c r="O21" s="164"/>
    </row>
    <row r="22" spans="1:15" s="22" customFormat="1" ht="15.6">
      <c r="A22" s="220" t="s">
        <v>16</v>
      </c>
      <c r="B22" s="221"/>
      <c r="C22" s="222"/>
      <c r="D22" s="222"/>
      <c r="E22" s="222"/>
      <c r="F22" s="222"/>
      <c r="G22" s="222"/>
      <c r="H22" s="222"/>
      <c r="I22" s="41">
        <f>ROUND((SUM(I9,I11,I17,I19)),2)</f>
        <v>387115.65</v>
      </c>
      <c r="J22" s="23"/>
      <c r="K22" s="47">
        <f>SUM(K10:K21)</f>
        <v>387115.65</v>
      </c>
      <c r="L22" s="47"/>
      <c r="M22" s="47"/>
      <c r="N22" s="47"/>
      <c r="O22" s="47">
        <f>SUM(O10:O20)</f>
        <v>0</v>
      </c>
    </row>
    <row r="23" spans="1:15" ht="15.6">
      <c r="A23" s="17"/>
      <c r="B23" s="18"/>
      <c r="C23" s="18"/>
      <c r="D23" s="18"/>
      <c r="E23" s="18"/>
      <c r="F23" s="18"/>
      <c r="G23" s="18"/>
      <c r="H23" s="18"/>
      <c r="I23" s="19"/>
      <c r="L23" s="1">
        <f t="shared" ref="L23:L33" si="5">H23*F23</f>
        <v>0</v>
      </c>
    </row>
    <row r="24" spans="1:15" ht="15.6">
      <c r="A24" s="17"/>
      <c r="B24" s="18"/>
      <c r="C24" s="18"/>
      <c r="D24" s="18"/>
      <c r="E24" s="18"/>
      <c r="F24" s="18"/>
      <c r="G24" s="18"/>
      <c r="H24" s="18"/>
      <c r="I24" s="19"/>
      <c r="L24" s="1">
        <f t="shared" si="5"/>
        <v>0</v>
      </c>
    </row>
    <row r="25" spans="1:15" ht="14.1" customHeight="1">
      <c r="A25" s="212" t="s">
        <v>25</v>
      </c>
      <c r="B25" s="213"/>
      <c r="C25" s="213"/>
      <c r="D25" s="213"/>
      <c r="E25" s="213"/>
      <c r="F25" s="213"/>
      <c r="G25" s="213"/>
      <c r="H25" s="213"/>
      <c r="I25" s="214"/>
      <c r="K25" s="16"/>
      <c r="L25" s="1">
        <f t="shared" ref="L25" si="6">H25*F25</f>
        <v>0</v>
      </c>
    </row>
    <row r="26" spans="1:15" ht="15.6">
      <c r="A26" s="202" t="s">
        <v>69</v>
      </c>
      <c r="B26" s="203"/>
      <c r="C26" s="203"/>
      <c r="D26" s="203"/>
      <c r="E26" s="203"/>
      <c r="F26" s="203"/>
      <c r="G26" s="203"/>
      <c r="H26" s="203"/>
      <c r="I26" s="204"/>
      <c r="J26" s="13"/>
      <c r="K26" s="14"/>
      <c r="L26" s="1">
        <f t="shared" si="5"/>
        <v>0</v>
      </c>
      <c r="M26" s="167">
        <f>K22-I22</f>
        <v>0</v>
      </c>
    </row>
    <row r="27" spans="1:15" s="50" customFormat="1" ht="18" customHeight="1">
      <c r="A27" s="202" t="s">
        <v>76</v>
      </c>
      <c r="B27" s="203"/>
      <c r="C27" s="203"/>
      <c r="D27" s="203"/>
      <c r="E27" s="203"/>
      <c r="F27" s="203"/>
      <c r="G27" s="203"/>
      <c r="H27" s="203"/>
      <c r="I27" s="204"/>
      <c r="J27" s="97"/>
      <c r="K27" s="98"/>
      <c r="L27" s="50">
        <f t="shared" si="5"/>
        <v>0</v>
      </c>
    </row>
    <row r="28" spans="1:15" ht="11.25" customHeight="1">
      <c r="A28" s="104"/>
      <c r="B28" s="105"/>
      <c r="C28" s="105"/>
      <c r="D28" s="105"/>
      <c r="E28" s="105"/>
      <c r="F28" s="105"/>
      <c r="G28" s="105"/>
      <c r="H28" s="105"/>
      <c r="I28" s="106"/>
      <c r="K28" s="16"/>
      <c r="L28" s="1">
        <f t="shared" si="5"/>
        <v>0</v>
      </c>
    </row>
    <row r="29" spans="1:15" ht="12" customHeight="1">
      <c r="A29" s="102"/>
      <c r="B29" s="103"/>
      <c r="C29" s="105"/>
      <c r="D29" s="105"/>
      <c r="E29" s="105"/>
      <c r="F29" s="105"/>
      <c r="G29" s="105"/>
      <c r="H29" s="105"/>
      <c r="I29" s="106"/>
      <c r="K29" s="16"/>
      <c r="L29" s="1">
        <f t="shared" si="5"/>
        <v>0</v>
      </c>
    </row>
    <row r="30" spans="1:15" ht="14.1" customHeight="1">
      <c r="A30" s="212" t="s">
        <v>25</v>
      </c>
      <c r="B30" s="213"/>
      <c r="C30" s="213"/>
      <c r="D30" s="213"/>
      <c r="E30" s="213"/>
      <c r="F30" s="213"/>
      <c r="G30" s="213"/>
      <c r="H30" s="213"/>
      <c r="I30" s="214"/>
      <c r="K30" s="16"/>
      <c r="L30" s="1">
        <f t="shared" si="5"/>
        <v>0</v>
      </c>
    </row>
    <row r="31" spans="1:15" ht="14.25" customHeight="1">
      <c r="A31" s="202" t="s">
        <v>26</v>
      </c>
      <c r="B31" s="203"/>
      <c r="C31" s="203"/>
      <c r="D31" s="203"/>
      <c r="E31" s="203"/>
      <c r="F31" s="203"/>
      <c r="G31" s="203"/>
      <c r="H31" s="203"/>
      <c r="I31" s="204"/>
      <c r="J31" s="13"/>
      <c r="K31" s="14"/>
      <c r="L31" s="1">
        <f t="shared" si="5"/>
        <v>0</v>
      </c>
    </row>
    <row r="32" spans="1:15" s="50" customFormat="1" ht="18.75" customHeight="1">
      <c r="A32" s="202" t="s">
        <v>77</v>
      </c>
      <c r="B32" s="203"/>
      <c r="C32" s="203"/>
      <c r="D32" s="203"/>
      <c r="E32" s="203"/>
      <c r="F32" s="203"/>
      <c r="G32" s="203"/>
      <c r="H32" s="203"/>
      <c r="I32" s="204"/>
      <c r="J32" s="97"/>
      <c r="K32" s="98"/>
      <c r="L32" s="50">
        <f t="shared" si="5"/>
        <v>0</v>
      </c>
    </row>
    <row r="33" spans="1:12" ht="17.25" customHeight="1" thickBot="1">
      <c r="A33" s="107"/>
      <c r="B33" s="108"/>
      <c r="C33" s="201"/>
      <c r="D33" s="201"/>
      <c r="E33" s="108"/>
      <c r="F33" s="201"/>
      <c r="G33" s="201"/>
      <c r="H33" s="109"/>
      <c r="I33" s="110"/>
      <c r="L33" s="1">
        <f t="shared" si="5"/>
        <v>0</v>
      </c>
    </row>
  </sheetData>
  <mergeCells count="21">
    <mergeCell ref="A1:I1"/>
    <mergeCell ref="A5:E5"/>
    <mergeCell ref="F6:F7"/>
    <mergeCell ref="A7:E7"/>
    <mergeCell ref="A3:F3"/>
    <mergeCell ref="A4:F4"/>
    <mergeCell ref="F5:I5"/>
    <mergeCell ref="G3:I3"/>
    <mergeCell ref="A6:E6"/>
    <mergeCell ref="G6:G7"/>
    <mergeCell ref="A2:I2"/>
    <mergeCell ref="H4:I4"/>
    <mergeCell ref="A22:H22"/>
    <mergeCell ref="C33:D33"/>
    <mergeCell ref="F33:G33"/>
    <mergeCell ref="A25:I25"/>
    <mergeCell ref="A26:I26"/>
    <mergeCell ref="A27:I27"/>
    <mergeCell ref="A30:I30"/>
    <mergeCell ref="A31:I31"/>
    <mergeCell ref="A32:I32"/>
  </mergeCells>
  <phoneticPr fontId="3" type="noConversion"/>
  <pageMargins left="0.7" right="0.7" top="0.75" bottom="0.75" header="0.3" footer="0.3"/>
  <pageSetup paperSize="9" scale="70" fitToHeight="0" orientation="landscape" horizontalDpi="4294967295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3"/>
  <sheetViews>
    <sheetView view="pageBreakPreview" topLeftCell="A19" zoomScale="115" zoomScaleNormal="100" zoomScaleSheetLayoutView="115" workbookViewId="0">
      <selection activeCell="D33" sqref="D33"/>
    </sheetView>
  </sheetViews>
  <sheetFormatPr defaultRowHeight="13.2"/>
  <cols>
    <col min="1" max="1" width="16.77734375" bestFit="1" customWidth="1"/>
    <col min="2" max="2" width="56.44140625" bestFit="1" customWidth="1"/>
    <col min="3" max="3" width="7.77734375" customWidth="1"/>
    <col min="4" max="4" width="12.21875" customWidth="1"/>
  </cols>
  <sheetData>
    <row r="1" spans="1:8" ht="16.2" customHeight="1" thickBot="1">
      <c r="A1" s="235" t="s">
        <v>81</v>
      </c>
      <c r="B1" s="236"/>
      <c r="C1" s="236"/>
      <c r="D1" s="94"/>
      <c r="E1" s="63"/>
      <c r="F1" s="63"/>
      <c r="G1" s="63"/>
      <c r="H1" s="64"/>
    </row>
    <row r="2" spans="1:8" ht="51.6" customHeight="1" thickBot="1">
      <c r="A2" s="237"/>
      <c r="B2" s="238"/>
      <c r="C2" s="238"/>
      <c r="D2" s="95"/>
    </row>
    <row r="3" spans="1:8" s="33" customFormat="1" ht="13.8" thickBot="1">
      <c r="A3" s="262" t="s">
        <v>67</v>
      </c>
      <c r="B3" s="263"/>
      <c r="C3" s="263"/>
      <c r="D3" s="264"/>
    </row>
    <row r="4" spans="1:8" s="34" customFormat="1" ht="28.2" customHeight="1">
      <c r="A4" s="265" t="s">
        <v>27</v>
      </c>
      <c r="B4" s="266"/>
      <c r="C4" s="266"/>
      <c r="D4" s="267"/>
    </row>
    <row r="5" spans="1:8">
      <c r="A5" s="259" t="str">
        <f>'PLANILHA ORÇAMENTÁRIA'!A3:F3</f>
        <v>PREFEITURA: PREFEITURA MUNICIPAL DE DIVISA ALEGRE - MG</v>
      </c>
      <c r="B5" s="260"/>
      <c r="C5" s="260"/>
      <c r="D5" s="261"/>
    </row>
    <row r="6" spans="1:8" ht="30.75" customHeight="1">
      <c r="A6" s="259" t="str">
        <f>'PLANILHA ORÇAMENTÁRIA'!A4:F4</f>
        <v>OBJETO: RECAPEAMENTO ASFÁLTICO EM CONCRETO BETUMINOSO USINADO A QUENTE (CBUQ) SOBRE REVESTIMENTO POLIÉDRICO NO MUNICÍPIO DE DIVISA ALEGRE - MG</v>
      </c>
      <c r="B6" s="260"/>
      <c r="C6" s="260"/>
      <c r="D6" s="261"/>
    </row>
    <row r="7" spans="1:8">
      <c r="A7" s="259" t="str">
        <f>'PLANILHA ORÇAMENTÁRIA'!A5:E5</f>
        <v>LOCAL: AVENIDA JOÃO MEIRA DOS SANTOS</v>
      </c>
      <c r="B7" s="260"/>
      <c r="C7" s="260"/>
      <c r="D7" s="261"/>
    </row>
    <row r="8" spans="1:8" ht="30.6" customHeight="1">
      <c r="A8" s="259" t="str">
        <f>'PLANILHA ORÇAMENTÁRIA'!A6:E6</f>
        <v>REGIÃO/MÊS DE REFERÊNCIA: SEINFRA/REGIÃO JEQUITINHONHA 10/2025 NÃO DESONERADO // SINAPI-MG 12/2025 NÃO DESONERADO //  ANP 12/2025</v>
      </c>
      <c r="B8" s="260"/>
      <c r="C8" s="260"/>
      <c r="D8" s="261"/>
    </row>
    <row r="9" spans="1:8" s="34" customFormat="1">
      <c r="A9" s="245" t="s">
        <v>28</v>
      </c>
      <c r="B9" s="246"/>
      <c r="C9" s="246"/>
      <c r="D9" s="247"/>
    </row>
    <row r="10" spans="1:8" s="37" customFormat="1">
      <c r="A10" s="35" t="s">
        <v>0</v>
      </c>
      <c r="B10" s="248" t="s">
        <v>29</v>
      </c>
      <c r="C10" s="248"/>
      <c r="D10" s="249"/>
    </row>
    <row r="11" spans="1:8" s="37" customFormat="1">
      <c r="A11" s="35">
        <v>1</v>
      </c>
      <c r="B11" s="38" t="s">
        <v>30</v>
      </c>
      <c r="C11" s="36" t="s">
        <v>31</v>
      </c>
      <c r="D11" s="39"/>
    </row>
    <row r="12" spans="1:8">
      <c r="A12" s="65" t="s">
        <v>12</v>
      </c>
      <c r="B12" s="66" t="s">
        <v>32</v>
      </c>
      <c r="C12" s="67" t="s">
        <v>33</v>
      </c>
      <c r="D12" s="68">
        <v>4.6699999999999998E-2</v>
      </c>
    </row>
    <row r="13" spans="1:8">
      <c r="A13" s="65" t="s">
        <v>34</v>
      </c>
      <c r="B13" s="66" t="s">
        <v>35</v>
      </c>
      <c r="C13" s="67" t="s">
        <v>36</v>
      </c>
      <c r="D13" s="69">
        <v>9.7000000000000003E-3</v>
      </c>
    </row>
    <row r="14" spans="1:8">
      <c r="A14" s="65" t="s">
        <v>37</v>
      </c>
      <c r="B14" s="66" t="s">
        <v>38</v>
      </c>
      <c r="C14" s="67" t="s">
        <v>39</v>
      </c>
      <c r="D14" s="69">
        <v>7.4000000000000003E-3</v>
      </c>
    </row>
    <row r="15" spans="1:8">
      <c r="A15" s="65" t="s">
        <v>40</v>
      </c>
      <c r="B15" s="66" t="s">
        <v>68</v>
      </c>
      <c r="C15" s="67" t="s">
        <v>41</v>
      </c>
      <c r="D15" s="70">
        <v>0.01</v>
      </c>
    </row>
    <row r="16" spans="1:8">
      <c r="A16" s="65" t="s">
        <v>42</v>
      </c>
      <c r="B16" s="66" t="s">
        <v>43</v>
      </c>
      <c r="C16" s="67" t="s">
        <v>44</v>
      </c>
      <c r="D16" s="69">
        <v>7.5300000000000006E-2</v>
      </c>
    </row>
    <row r="17" spans="1:4" s="37" customFormat="1">
      <c r="A17" s="35">
        <v>2</v>
      </c>
      <c r="B17" s="38" t="s">
        <v>45</v>
      </c>
      <c r="C17" s="36" t="s">
        <v>46</v>
      </c>
      <c r="D17" s="40"/>
    </row>
    <row r="18" spans="1:4">
      <c r="A18" s="65" t="s">
        <v>13</v>
      </c>
      <c r="B18" s="28" t="s">
        <v>47</v>
      </c>
      <c r="C18" s="29" t="s">
        <v>48</v>
      </c>
      <c r="D18" s="68">
        <v>0.03</v>
      </c>
    </row>
    <row r="19" spans="1:4">
      <c r="A19" s="65" t="s">
        <v>49</v>
      </c>
      <c r="B19" s="28" t="s">
        <v>50</v>
      </c>
      <c r="C19" s="29" t="s">
        <v>51</v>
      </c>
      <c r="D19" s="71">
        <v>3.5000000000000003E-2</v>
      </c>
    </row>
    <row r="20" spans="1:4">
      <c r="A20" s="65" t="s">
        <v>52</v>
      </c>
      <c r="B20" s="28" t="s">
        <v>53</v>
      </c>
      <c r="C20" s="29" t="s">
        <v>54</v>
      </c>
      <c r="D20" s="68">
        <v>6.4999999999999997E-3</v>
      </c>
    </row>
    <row r="21" spans="1:4">
      <c r="A21" s="65" t="s">
        <v>55</v>
      </c>
      <c r="B21" s="28" t="s">
        <v>56</v>
      </c>
      <c r="C21" s="29" t="s">
        <v>57</v>
      </c>
      <c r="D21" s="69">
        <v>0</v>
      </c>
    </row>
    <row r="22" spans="1:4">
      <c r="A22" s="250" t="s">
        <v>58</v>
      </c>
      <c r="B22" s="251"/>
      <c r="C22" s="251"/>
      <c r="D22" s="30">
        <f>ROUND((((1+(D12+D13+D14))*(1+D15)*(1+D16)/(1-(D18+D19+D20+D21)))-1),4)</f>
        <v>0.24429999999999999</v>
      </c>
    </row>
    <row r="23" spans="1:4">
      <c r="A23" s="72"/>
      <c r="B23" s="252"/>
      <c r="C23" s="252"/>
      <c r="D23" s="73"/>
    </row>
    <row r="24" spans="1:4">
      <c r="A24" s="74"/>
      <c r="B24" s="128"/>
      <c r="C24" s="128"/>
      <c r="D24" s="75"/>
    </row>
    <row r="25" spans="1:4">
      <c r="A25" s="119" t="s">
        <v>94</v>
      </c>
      <c r="B25" s="129">
        <f ca="1">TODAY()</f>
        <v>46065</v>
      </c>
      <c r="C25" s="128"/>
      <c r="D25" s="75"/>
    </row>
    <row r="26" spans="1:4">
      <c r="A26" s="74"/>
      <c r="B26" s="128"/>
      <c r="C26" s="128"/>
      <c r="D26" s="75"/>
    </row>
    <row r="27" spans="1:4">
      <c r="A27" s="74"/>
      <c r="B27" s="128"/>
      <c r="C27" s="128"/>
      <c r="D27" s="75"/>
    </row>
    <row r="28" spans="1:4">
      <c r="A28" s="253" t="s">
        <v>59</v>
      </c>
      <c r="B28" s="254"/>
      <c r="C28" s="254"/>
      <c r="D28" s="255"/>
    </row>
    <row r="29" spans="1:4">
      <c r="A29" s="256" t="str">
        <f>'PLANILHA ORÇAMENTÁRIA'!A26:I26</f>
        <v>MARCOS VINÍCIUS COSTA FRÓIS</v>
      </c>
      <c r="B29" s="257"/>
      <c r="C29" s="257"/>
      <c r="D29" s="258"/>
    </row>
    <row r="30" spans="1:4" s="96" customFormat="1">
      <c r="A30" s="239" t="str">
        <f>'PLANILHA ORÇAMENTÁRIA'!A27:I27</f>
        <v>ENGENHEIRO CIVIL - CREA-MG: 250000/D</v>
      </c>
      <c r="B30" s="240"/>
      <c r="C30" s="240"/>
      <c r="D30" s="241"/>
    </row>
    <row r="31" spans="1:4">
      <c r="A31" s="31"/>
      <c r="B31" s="130"/>
      <c r="C31" s="130"/>
      <c r="D31" s="32"/>
    </row>
    <row r="32" spans="1:4">
      <c r="A32" s="242"/>
      <c r="B32" s="243"/>
      <c r="C32" s="243"/>
      <c r="D32" s="244"/>
    </row>
    <row r="33" spans="1:4" ht="13.8" thickBot="1">
      <c r="A33" s="76"/>
      <c r="B33" s="77"/>
      <c r="C33" s="77"/>
      <c r="D33" s="78"/>
    </row>
  </sheetData>
  <mergeCells count="15">
    <mergeCell ref="A1:C2"/>
    <mergeCell ref="A30:D30"/>
    <mergeCell ref="A32:D32"/>
    <mergeCell ref="A9:D9"/>
    <mergeCell ref="B10:D10"/>
    <mergeCell ref="A22:C22"/>
    <mergeCell ref="B23:C23"/>
    <mergeCell ref="A28:D28"/>
    <mergeCell ref="A29:D29"/>
    <mergeCell ref="A8:D8"/>
    <mergeCell ref="A3:D3"/>
    <mergeCell ref="A4:D4"/>
    <mergeCell ref="A5:D5"/>
    <mergeCell ref="A6:D6"/>
    <mergeCell ref="A7:D7"/>
  </mergeCells>
  <pageMargins left="0.511811024" right="0.511811024" top="0.78740157499999996" bottom="0.78740157499999996" header="0.31496062000000002" footer="0.31496062000000002"/>
  <pageSetup paperSize="9" scale="9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7"/>
  <sheetViews>
    <sheetView view="pageBreakPreview" topLeftCell="A13" zoomScaleNormal="100" zoomScaleSheetLayoutView="100" workbookViewId="0">
      <selection activeCell="H10" sqref="H10"/>
    </sheetView>
  </sheetViews>
  <sheetFormatPr defaultRowHeight="13.2"/>
  <cols>
    <col min="1" max="1" width="8.109375" customWidth="1"/>
    <col min="3" max="3" width="24.109375" customWidth="1"/>
    <col min="4" max="4" width="25.5546875" bestFit="1" customWidth="1"/>
    <col min="5" max="5" width="9.6640625" bestFit="1" customWidth="1"/>
    <col min="6" max="6" width="17.33203125" bestFit="1" customWidth="1"/>
    <col min="7" max="7" width="9.77734375" bestFit="1" customWidth="1"/>
    <col min="8" max="8" width="17.33203125" bestFit="1" customWidth="1"/>
    <col min="9" max="9" width="9.77734375" bestFit="1" customWidth="1"/>
    <col min="10" max="10" width="8.6640625" customWidth="1"/>
    <col min="11" max="11" width="9.6640625" bestFit="1" customWidth="1"/>
    <col min="12" max="12" width="17.33203125" bestFit="1" customWidth="1"/>
    <col min="13" max="13" width="14.6640625" customWidth="1"/>
  </cols>
  <sheetData>
    <row r="1" spans="1:13" s="1" customFormat="1" ht="93" customHeight="1">
      <c r="A1" s="277" t="s">
        <v>74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9"/>
    </row>
    <row r="2" spans="1:13" ht="17.399999999999999" customHeight="1">
      <c r="A2" s="297" t="str">
        <f>'PLANILHA ORÇAMENTÁRIA'!A3:F3</f>
        <v>PREFEITURA: PREFEITURA MUNICIPAL DE DIVISA ALEGRE - MG</v>
      </c>
      <c r="B2" s="298"/>
      <c r="C2" s="298"/>
      <c r="D2" s="298"/>
      <c r="E2" s="298"/>
      <c r="F2" s="298"/>
      <c r="G2" s="298"/>
      <c r="H2" s="298"/>
      <c r="I2" s="298"/>
      <c r="J2" s="298"/>
      <c r="K2" s="299"/>
      <c r="L2" s="289" t="s">
        <v>17</v>
      </c>
      <c r="M2" s="290"/>
    </row>
    <row r="3" spans="1:13" ht="15.6">
      <c r="A3" s="294" t="str">
        <f>'PLANILHA ORÇAMENTÁRIA'!A4:F4</f>
        <v>OBJETO: RECAPEAMENTO ASFÁLTICO EM CONCRETO BETUMINOSO USINADO A QUENTE (CBUQ) SOBRE REVESTIMENTO POLIÉDRICO NO MUNICÍPIO DE DIVISA ALEGRE - MG</v>
      </c>
      <c r="B3" s="295"/>
      <c r="C3" s="295"/>
      <c r="D3" s="295"/>
      <c r="E3" s="295"/>
      <c r="F3" s="295"/>
      <c r="G3" s="295"/>
      <c r="H3" s="295"/>
      <c r="I3" s="295"/>
      <c r="J3" s="295"/>
      <c r="K3" s="300"/>
      <c r="L3" s="117" t="str">
        <f>'PLANILHA ORÇAMENTÁRIA'!G4</f>
        <v>DATA:</v>
      </c>
      <c r="M3" s="124">
        <f ca="1">TODAY()</f>
        <v>46065</v>
      </c>
    </row>
    <row r="4" spans="1:13" ht="16.8" customHeight="1">
      <c r="A4" s="291" t="str">
        <f>'PLANILHA ORÇAMENTÁRIA'!A5:E5</f>
        <v>LOCAL: AVENIDA JOÃO MEIRA DOS SANTOS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3"/>
    </row>
    <row r="5" spans="1:13" ht="15.75" customHeight="1">
      <c r="A5" s="294" t="str">
        <f>'PLANILHA ORÇAMENTÁRIA'!A6:E6</f>
        <v>REGIÃO/MÊS DE REFERÊNCIA: SEINFRA/REGIÃO JEQUITINHONHA 10/2025 NÃO DESONERADO // SINAPI-MG 12/2025 NÃO DESONERADO //  ANP 12/2025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6"/>
    </row>
    <row r="6" spans="1:13" ht="13.5" customHeight="1" thickBot="1">
      <c r="A6" s="286" t="str">
        <f>'PLANILHA ORÇAMENTÁRIA'!A7:E7</f>
        <v>PRAZO DE EXECUÇÃO: 02 MESES</v>
      </c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8"/>
    </row>
    <row r="7" spans="1:13" ht="16.2" thickBot="1">
      <c r="A7" s="283" t="s">
        <v>60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5"/>
    </row>
    <row r="8" spans="1:13" s="34" customFormat="1" ht="15.6">
      <c r="A8" s="131" t="s">
        <v>0</v>
      </c>
      <c r="B8" s="270" t="s">
        <v>1</v>
      </c>
      <c r="C8" s="270"/>
      <c r="D8" s="270" t="s">
        <v>61</v>
      </c>
      <c r="E8" s="270"/>
      <c r="F8" s="270" t="s">
        <v>62</v>
      </c>
      <c r="G8" s="270"/>
      <c r="H8" s="270" t="s">
        <v>78</v>
      </c>
      <c r="I8" s="270"/>
      <c r="J8" s="270" t="s">
        <v>79</v>
      </c>
      <c r="K8" s="270"/>
      <c r="L8" s="270" t="s">
        <v>63</v>
      </c>
      <c r="M8" s="271"/>
    </row>
    <row r="9" spans="1:13" ht="15.6">
      <c r="A9" s="132"/>
      <c r="B9" s="272"/>
      <c r="C9" s="272"/>
      <c r="D9" s="79" t="s">
        <v>64</v>
      </c>
      <c r="E9" s="79" t="s">
        <v>65</v>
      </c>
      <c r="F9" s="79" t="s">
        <v>64</v>
      </c>
      <c r="G9" s="79" t="s">
        <v>65</v>
      </c>
      <c r="H9" s="79" t="s">
        <v>64</v>
      </c>
      <c r="I9" s="79" t="s">
        <v>65</v>
      </c>
      <c r="J9" s="79" t="s">
        <v>64</v>
      </c>
      <c r="K9" s="79" t="s">
        <v>65</v>
      </c>
      <c r="L9" s="80" t="s">
        <v>64</v>
      </c>
      <c r="M9" s="133" t="s">
        <v>65</v>
      </c>
    </row>
    <row r="10" spans="1:13" ht="31.8" customHeight="1">
      <c r="A10" s="134">
        <f>'PLANILHA ORÇAMENTÁRIA'!A9</f>
        <v>1</v>
      </c>
      <c r="B10" s="268" t="str">
        <f>'PLANILHA ORÇAMENTÁRIA'!D9</f>
        <v>INSTALAÇÕES INICIAIS DA OBRA</v>
      </c>
      <c r="C10" s="268"/>
      <c r="D10" s="81">
        <f>'PLANILHA ORÇAMENTÁRIA'!I9</f>
        <v>2407.8200000000002</v>
      </c>
      <c r="E10" s="82">
        <f>D10/$D$15</f>
        <v>6.2198983688724558E-3</v>
      </c>
      <c r="F10" s="83">
        <f>$D$10*G10</f>
        <v>2407.8200000000002</v>
      </c>
      <c r="G10" s="82">
        <v>1</v>
      </c>
      <c r="H10" s="83"/>
      <c r="I10" s="82"/>
      <c r="J10" s="83"/>
      <c r="K10" s="82"/>
      <c r="L10" s="84">
        <f>F10+H10+J10</f>
        <v>2407.8200000000002</v>
      </c>
      <c r="M10" s="135">
        <f>G10+I10+K10</f>
        <v>1</v>
      </c>
    </row>
    <row r="11" spans="1:13" ht="35.25" customHeight="1">
      <c r="A11" s="134">
        <f>'PLANILHA ORÇAMENTÁRIA'!A11</f>
        <v>2</v>
      </c>
      <c r="B11" s="268" t="str">
        <f>'PLANILHA ORÇAMENTÁRIA'!D11</f>
        <v>PAVIMENTAÇÃO</v>
      </c>
      <c r="C11" s="268"/>
      <c r="D11" s="81">
        <f>'PLANILHA ORÇAMENTÁRIA'!I11</f>
        <v>318913.62</v>
      </c>
      <c r="E11" s="82">
        <f>D11/$D$15</f>
        <v>0.82382001347659295</v>
      </c>
      <c r="F11" s="83">
        <f>$D$11*G11</f>
        <v>159456.81</v>
      </c>
      <c r="G11" s="82">
        <v>0.5</v>
      </c>
      <c r="H11" s="83">
        <f>$D$11*I11</f>
        <v>159456.81</v>
      </c>
      <c r="I11" s="82">
        <v>0.5</v>
      </c>
      <c r="J11" s="83"/>
      <c r="K11" s="82"/>
      <c r="L11" s="84">
        <f t="shared" ref="L11:L12" si="0">F11+H11+J11</f>
        <v>318913.62</v>
      </c>
      <c r="M11" s="135">
        <f t="shared" ref="M11:M12" si="1">G11+I11+K11</f>
        <v>1</v>
      </c>
    </row>
    <row r="12" spans="1:13" ht="35.25" customHeight="1">
      <c r="A12" s="136">
        <f>'PLANILHA ORÇAMENTÁRIA'!A17</f>
        <v>3</v>
      </c>
      <c r="B12" s="268" t="str">
        <f>'PLANILHA ORÇAMENTÁRIA'!D17</f>
        <v>OBRAS COMPLEMENTARES DE PAVIMENTAÇÃO</v>
      </c>
      <c r="C12" s="268"/>
      <c r="D12" s="81">
        <f>'PLANILHA ORÇAMENTÁRIA'!I17</f>
        <v>48474.03</v>
      </c>
      <c r="E12" s="82">
        <f>D12/$D$15</f>
        <v>0.12521847153428181</v>
      </c>
      <c r="F12" s="83">
        <f>$D$12*G12</f>
        <v>24237.014999999999</v>
      </c>
      <c r="G12" s="82">
        <v>0.5</v>
      </c>
      <c r="H12" s="83">
        <f>$D$12*I12</f>
        <v>24237.014999999999</v>
      </c>
      <c r="I12" s="82">
        <v>0.5</v>
      </c>
      <c r="J12" s="83"/>
      <c r="K12" s="82"/>
      <c r="L12" s="84">
        <f t="shared" si="0"/>
        <v>48474.03</v>
      </c>
      <c r="M12" s="135">
        <f t="shared" si="1"/>
        <v>1</v>
      </c>
    </row>
    <row r="13" spans="1:13" ht="35.25" customHeight="1">
      <c r="A13" s="136">
        <f>'PLANILHA ORÇAMENTÁRIA'!A19</f>
        <v>4</v>
      </c>
      <c r="B13" s="268" t="str">
        <f>'PLANILHA ORÇAMENTÁRIA'!D19</f>
        <v>SINALIZAÇÃO VIÁRIA</v>
      </c>
      <c r="C13" s="268"/>
      <c r="D13" s="81">
        <f>'PLANILHA ORÇAMENTÁRIA'!I19</f>
        <v>17320.18</v>
      </c>
      <c r="E13" s="82">
        <f>D13/$D$15</f>
        <v>4.4741616620252896E-2</v>
      </c>
      <c r="F13" s="83"/>
      <c r="G13" s="82"/>
      <c r="H13" s="83">
        <f>$D$13*I13</f>
        <v>17320.18</v>
      </c>
      <c r="I13" s="82">
        <v>1</v>
      </c>
      <c r="J13" s="83"/>
      <c r="K13" s="82"/>
      <c r="L13" s="84">
        <f t="shared" ref="L13" si="2">F13+H13+J13</f>
        <v>17320.18</v>
      </c>
      <c r="M13" s="135">
        <f t="shared" ref="M13" si="3">G13+I13+K13</f>
        <v>1</v>
      </c>
    </row>
    <row r="14" spans="1:13" ht="15.6">
      <c r="A14" s="137"/>
      <c r="B14" s="85"/>
      <c r="C14" s="86"/>
      <c r="D14" s="138"/>
      <c r="E14" s="139"/>
      <c r="F14" s="87"/>
      <c r="G14" s="140"/>
      <c r="H14" s="140"/>
      <c r="I14" s="140"/>
      <c r="J14" s="140"/>
      <c r="K14" s="140"/>
      <c r="L14" s="87"/>
      <c r="M14" s="141"/>
    </row>
    <row r="15" spans="1:13" ht="15.6">
      <c r="A15" s="142"/>
      <c r="B15" s="280" t="s">
        <v>63</v>
      </c>
      <c r="C15" s="280"/>
      <c r="D15" s="88">
        <f>SUM(D10:D13)</f>
        <v>387115.64999999997</v>
      </c>
      <c r="E15" s="89">
        <f>SUM(E10:E13)</f>
        <v>1.0000000000000002</v>
      </c>
      <c r="F15" s="90">
        <f>SUM(F10:F13)</f>
        <v>186101.64500000002</v>
      </c>
      <c r="G15" s="91">
        <f>F15/$D$15</f>
        <v>0.48073914087430986</v>
      </c>
      <c r="H15" s="90">
        <f>SUM(H10:H13)</f>
        <v>201014.005</v>
      </c>
      <c r="I15" s="91">
        <f>H15/$D$15</f>
        <v>0.51926085912569031</v>
      </c>
      <c r="J15" s="90"/>
      <c r="K15" s="91"/>
      <c r="L15" s="90">
        <f>SUM(L10:L13)</f>
        <v>387115.64999999997</v>
      </c>
      <c r="M15" s="143">
        <f>L15/$D$15</f>
        <v>1</v>
      </c>
    </row>
    <row r="16" spans="1:13" ht="15.6">
      <c r="A16" s="142"/>
      <c r="B16" s="280" t="s">
        <v>66</v>
      </c>
      <c r="C16" s="280"/>
      <c r="D16" s="88">
        <f>SUM(D10:D13)</f>
        <v>387115.64999999997</v>
      </c>
      <c r="E16" s="89">
        <v>1</v>
      </c>
      <c r="F16" s="90">
        <f>F15</f>
        <v>186101.64500000002</v>
      </c>
      <c r="G16" s="91">
        <f>G15</f>
        <v>0.48073914087430986</v>
      </c>
      <c r="H16" s="90">
        <f>H15+F16</f>
        <v>387115.65</v>
      </c>
      <c r="I16" s="91">
        <f>I15+G16</f>
        <v>1.0000000000000002</v>
      </c>
      <c r="J16" s="90"/>
      <c r="K16" s="91"/>
      <c r="L16" s="90"/>
      <c r="M16" s="144"/>
    </row>
    <row r="17" spans="1:13" ht="15.6">
      <c r="A17" s="145"/>
      <c r="B17" s="146"/>
      <c r="C17" s="146"/>
      <c r="D17" s="146"/>
      <c r="E17" s="146"/>
      <c r="F17" s="92"/>
      <c r="G17" s="147"/>
      <c r="H17" s="147"/>
      <c r="I17" s="147"/>
      <c r="J17" s="147"/>
      <c r="K17" s="147"/>
      <c r="L17" s="93"/>
      <c r="M17" s="148"/>
    </row>
    <row r="18" spans="1:13" ht="15.6">
      <c r="A18" s="145"/>
      <c r="B18" s="301" t="str">
        <f>BDI!A25</f>
        <v>Divisa Alegre-MG,</v>
      </c>
      <c r="C18" s="302"/>
      <c r="D18" s="118">
        <f ca="1">TODAY()</f>
        <v>46065</v>
      </c>
      <c r="E18" s="146"/>
      <c r="F18" s="93"/>
      <c r="G18" s="147"/>
      <c r="H18" s="147"/>
      <c r="I18" s="147"/>
      <c r="J18" s="147"/>
      <c r="K18" s="147"/>
      <c r="L18" s="93"/>
      <c r="M18" s="148"/>
    </row>
    <row r="19" spans="1:13" ht="15">
      <c r="A19" s="281"/>
      <c r="B19" s="282"/>
      <c r="C19" s="282"/>
      <c r="D19" s="150"/>
      <c r="E19" s="150"/>
      <c r="F19" s="150"/>
      <c r="G19" s="150"/>
      <c r="H19" s="150"/>
      <c r="I19" s="150"/>
      <c r="J19" s="150"/>
      <c r="K19" s="150"/>
      <c r="L19" s="150"/>
      <c r="M19" s="151"/>
    </row>
    <row r="20" spans="1:13" ht="15.6">
      <c r="A20" s="149"/>
      <c r="B20" s="275"/>
      <c r="C20" s="275"/>
      <c r="D20" s="275"/>
      <c r="E20" s="275"/>
      <c r="F20" s="150"/>
      <c r="G20" s="153"/>
      <c r="H20" s="153"/>
      <c r="I20" s="153"/>
      <c r="J20" s="153"/>
      <c r="K20" s="153"/>
      <c r="L20" s="153"/>
      <c r="M20" s="154"/>
    </row>
    <row r="21" spans="1:13" ht="15.6">
      <c r="A21" s="149"/>
      <c r="B21" s="274"/>
      <c r="C21" s="274"/>
      <c r="D21" s="274"/>
      <c r="E21" s="274"/>
      <c r="F21" s="150"/>
      <c r="G21" s="152"/>
      <c r="H21" s="152"/>
      <c r="I21" s="152"/>
      <c r="J21" s="152"/>
      <c r="K21" s="152"/>
      <c r="L21" s="152"/>
      <c r="M21" s="155"/>
    </row>
    <row r="22" spans="1:13" ht="15">
      <c r="A22" s="156"/>
      <c r="B22" s="273" t="s">
        <v>24</v>
      </c>
      <c r="C22" s="273"/>
      <c r="D22" s="273"/>
      <c r="E22" s="273"/>
      <c r="F22" s="273"/>
      <c r="G22" s="273"/>
      <c r="H22" s="273" t="s">
        <v>24</v>
      </c>
      <c r="I22" s="273"/>
      <c r="J22" s="273"/>
      <c r="K22" s="273"/>
      <c r="L22" s="273"/>
      <c r="M22" s="276"/>
    </row>
    <row r="23" spans="1:13" ht="15">
      <c r="A23" s="156"/>
      <c r="B23" s="273" t="str">
        <f>BDI!A29</f>
        <v>MARCOS VINÍCIUS COSTA FRÓIS</v>
      </c>
      <c r="C23" s="273"/>
      <c r="D23" s="273"/>
      <c r="E23" s="273"/>
      <c r="F23" s="273"/>
      <c r="G23" s="273"/>
      <c r="H23" s="273" t="s">
        <v>26</v>
      </c>
      <c r="I23" s="273"/>
      <c r="J23" s="273"/>
      <c r="K23" s="273"/>
      <c r="L23" s="273"/>
      <c r="M23" s="276"/>
    </row>
    <row r="24" spans="1:13" s="96" customFormat="1" ht="15.6">
      <c r="A24" s="157"/>
      <c r="B24" s="203" t="str">
        <f>BDI!A30</f>
        <v>ENGENHEIRO CIVIL - CREA-MG: 250000/D</v>
      </c>
      <c r="C24" s="203"/>
      <c r="D24" s="203"/>
      <c r="E24" s="203"/>
      <c r="F24" s="203"/>
      <c r="G24" s="203"/>
      <c r="H24" s="203" t="s">
        <v>77</v>
      </c>
      <c r="I24" s="203"/>
      <c r="J24" s="203"/>
      <c r="K24" s="203"/>
      <c r="L24" s="203"/>
      <c r="M24" s="204"/>
    </row>
    <row r="25" spans="1:13" ht="15.6" thickBot="1">
      <c r="A25" s="158"/>
      <c r="B25" s="269"/>
      <c r="C25" s="269"/>
      <c r="D25" s="269"/>
      <c r="E25" s="269"/>
      <c r="F25" s="269"/>
      <c r="G25" s="269"/>
      <c r="H25" s="159"/>
      <c r="I25" s="159"/>
      <c r="J25" s="159"/>
      <c r="K25" s="159"/>
      <c r="L25" s="160"/>
      <c r="M25" s="161"/>
    </row>
    <row r="26" spans="1:13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3">
      <c r="B27" s="27"/>
      <c r="C27" s="1"/>
      <c r="D27" s="1"/>
      <c r="E27" s="1"/>
      <c r="F27" s="1"/>
      <c r="G27" s="1"/>
      <c r="H27" s="1"/>
      <c r="I27" s="1"/>
      <c r="J27" s="1"/>
      <c r="K27" s="1"/>
    </row>
  </sheetData>
  <mergeCells count="32">
    <mergeCell ref="B24:G24"/>
    <mergeCell ref="A1:M1"/>
    <mergeCell ref="B15:C15"/>
    <mergeCell ref="B16:C16"/>
    <mergeCell ref="A19:C19"/>
    <mergeCell ref="A7:M7"/>
    <mergeCell ref="A6:M6"/>
    <mergeCell ref="L2:M2"/>
    <mergeCell ref="A4:M4"/>
    <mergeCell ref="A5:M5"/>
    <mergeCell ref="B12:C12"/>
    <mergeCell ref="H8:I8"/>
    <mergeCell ref="J8:K8"/>
    <mergeCell ref="A2:K2"/>
    <mergeCell ref="A3:K3"/>
    <mergeCell ref="B18:C18"/>
    <mergeCell ref="B13:C13"/>
    <mergeCell ref="B25:G25"/>
    <mergeCell ref="B11:C11"/>
    <mergeCell ref="L8:M8"/>
    <mergeCell ref="B9:C9"/>
    <mergeCell ref="B10:C10"/>
    <mergeCell ref="B8:C8"/>
    <mergeCell ref="D8:E8"/>
    <mergeCell ref="F8:G8"/>
    <mergeCell ref="B22:G22"/>
    <mergeCell ref="B21:E21"/>
    <mergeCell ref="B20:E20"/>
    <mergeCell ref="B23:G23"/>
    <mergeCell ref="H22:M22"/>
    <mergeCell ref="H23:M23"/>
    <mergeCell ref="H24:M24"/>
  </mergeCells>
  <pageMargins left="0.511811024" right="0.511811024" top="0.78740157499999996" bottom="0.78740157499999996" header="0.31496062000000002" footer="0.31496062000000002"/>
  <pageSetup paperSize="9" scale="7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F2B92-A0D8-4E13-8180-D5C5CF2F0815}">
  <sheetPr>
    <pageSetUpPr fitToPage="1"/>
  </sheetPr>
  <dimension ref="A1"/>
  <sheetViews>
    <sheetView view="pageBreakPreview" topLeftCell="D7" zoomScale="205" zoomScaleNormal="100" zoomScaleSheetLayoutView="205" workbookViewId="0">
      <selection activeCell="N9" sqref="N9"/>
    </sheetView>
  </sheetViews>
  <sheetFormatPr defaultRowHeight="13.2"/>
  <sheetData/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MEMÓRIAL DE CÁLCULO</vt:lpstr>
      <vt:lpstr>PLANILHA ORÇAMENTÁRIA</vt:lpstr>
      <vt:lpstr>BDI</vt:lpstr>
      <vt:lpstr>CRONOGRAMA FÍSICO-FINANCEIRO</vt:lpstr>
      <vt:lpstr>PREÇO EMULSÃO</vt:lpstr>
      <vt:lpstr>BDI!Area_de_impressao</vt:lpstr>
      <vt:lpstr>'CRONOGRAMA FÍSICO-FINANCEIRO'!Area_de_impressao</vt:lpstr>
      <vt:lpstr>'MEMÓRIAL DE CÁLCULO'!Area_de_impressao</vt:lpstr>
      <vt:lpstr>'PLANILHA ORÇAMENTÁRIA'!Area_de_impressao</vt:lpstr>
      <vt:lpstr>'PREÇO EMULSÃO'!Area_de_impressao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Fróis</dc:creator>
  <cp:lastModifiedBy>Marcos Fróis</cp:lastModifiedBy>
  <cp:lastPrinted>2026-02-12T12:35:10Z</cp:lastPrinted>
  <dcterms:created xsi:type="dcterms:W3CDTF">2006-09-22T13:55:22Z</dcterms:created>
  <dcterms:modified xsi:type="dcterms:W3CDTF">2026-02-12T12:40:40Z</dcterms:modified>
</cp:coreProperties>
</file>